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Rest Stop Ministries\Financials\2021\December. YearEnd\"/>
    </mc:Choice>
  </mc:AlternateContent>
  <xr:revisionPtr revIDLastSave="0" documentId="8_{52F2E260-0A0C-42D4-8E2F-86FB53C1E4F1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Statement of Activi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4" i="1" l="1"/>
  <c r="K154" i="1"/>
  <c r="J154" i="1"/>
  <c r="I154" i="1"/>
  <c r="H154" i="1"/>
  <c r="G154" i="1"/>
  <c r="F154" i="1"/>
  <c r="E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B152" i="1"/>
  <c r="L151" i="1"/>
  <c r="K151" i="1"/>
  <c r="J151" i="1"/>
  <c r="I151" i="1"/>
  <c r="H151" i="1"/>
  <c r="G151" i="1"/>
  <c r="F151" i="1"/>
  <c r="E151" i="1"/>
  <c r="D151" i="1"/>
  <c r="C151" i="1"/>
  <c r="B151" i="1"/>
  <c r="K150" i="1"/>
  <c r="H150" i="1"/>
  <c r="F150" i="1"/>
  <c r="B150" i="1"/>
  <c r="N150" i="1" s="1"/>
  <c r="K149" i="1"/>
  <c r="G149" i="1"/>
  <c r="M148" i="1"/>
  <c r="M149" i="1" s="1"/>
  <c r="L148" i="1"/>
  <c r="L149" i="1" s="1"/>
  <c r="K148" i="1"/>
  <c r="J148" i="1"/>
  <c r="J149" i="1" s="1"/>
  <c r="I148" i="1"/>
  <c r="I149" i="1" s="1"/>
  <c r="H148" i="1"/>
  <c r="H149" i="1" s="1"/>
  <c r="G148" i="1"/>
  <c r="F148" i="1"/>
  <c r="F149" i="1" s="1"/>
  <c r="E148" i="1"/>
  <c r="E149" i="1" s="1"/>
  <c r="D148" i="1"/>
  <c r="D149" i="1" s="1"/>
  <c r="C148" i="1"/>
  <c r="C149" i="1" s="1"/>
  <c r="B148" i="1"/>
  <c r="B149" i="1" s="1"/>
  <c r="N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M143" i="1"/>
  <c r="L143" i="1"/>
  <c r="J143" i="1"/>
  <c r="H143" i="1"/>
  <c r="G143" i="1"/>
  <c r="D143" i="1"/>
  <c r="C143" i="1"/>
  <c r="B143" i="1"/>
  <c r="K142" i="1"/>
  <c r="C142" i="1"/>
  <c r="M141" i="1"/>
  <c r="B141" i="1"/>
  <c r="N141" i="1" s="1"/>
  <c r="M140" i="1"/>
  <c r="M142" i="1" s="1"/>
  <c r="L140" i="1"/>
  <c r="L142" i="1" s="1"/>
  <c r="K140" i="1"/>
  <c r="J140" i="1"/>
  <c r="J142" i="1" s="1"/>
  <c r="I140" i="1"/>
  <c r="I142" i="1" s="1"/>
  <c r="H140" i="1"/>
  <c r="H142" i="1" s="1"/>
  <c r="G140" i="1"/>
  <c r="G142" i="1" s="1"/>
  <c r="F140" i="1"/>
  <c r="F142" i="1" s="1"/>
  <c r="F155" i="1" s="1"/>
  <c r="E140" i="1"/>
  <c r="E142" i="1" s="1"/>
  <c r="D140" i="1"/>
  <c r="D142" i="1" s="1"/>
  <c r="C140" i="1"/>
  <c r="B140" i="1"/>
  <c r="N139" i="1"/>
  <c r="K138" i="1"/>
  <c r="H138" i="1"/>
  <c r="F138" i="1"/>
  <c r="E138" i="1"/>
  <c r="C138" i="1"/>
  <c r="N137" i="1"/>
  <c r="J136" i="1"/>
  <c r="N136" i="1" s="1"/>
  <c r="M135" i="1"/>
  <c r="L135" i="1"/>
  <c r="K135" i="1"/>
  <c r="I135" i="1"/>
  <c r="G135" i="1"/>
  <c r="F135" i="1"/>
  <c r="E135" i="1"/>
  <c r="D135" i="1"/>
  <c r="C135" i="1"/>
  <c r="B135" i="1"/>
  <c r="J134" i="1"/>
  <c r="J135" i="1" s="1"/>
  <c r="H134" i="1"/>
  <c r="H135" i="1" s="1"/>
  <c r="N133" i="1"/>
  <c r="L130" i="1"/>
  <c r="K130" i="1"/>
  <c r="N130" i="1" s="1"/>
  <c r="H129" i="1"/>
  <c r="N129" i="1" s="1"/>
  <c r="J128" i="1"/>
  <c r="I128" i="1"/>
  <c r="H128" i="1"/>
  <c r="G128" i="1"/>
  <c r="N128" i="1" s="1"/>
  <c r="F128" i="1"/>
  <c r="E128" i="1"/>
  <c r="B128" i="1"/>
  <c r="D127" i="1"/>
  <c r="N127" i="1" s="1"/>
  <c r="L126" i="1"/>
  <c r="K126" i="1"/>
  <c r="J126" i="1"/>
  <c r="I126" i="1"/>
  <c r="H126" i="1"/>
  <c r="G126" i="1"/>
  <c r="F126" i="1"/>
  <c r="E126" i="1"/>
  <c r="D126" i="1"/>
  <c r="C126" i="1"/>
  <c r="B126" i="1"/>
  <c r="N126" i="1" s="1"/>
  <c r="M125" i="1"/>
  <c r="L125" i="1"/>
  <c r="K125" i="1"/>
  <c r="J125" i="1"/>
  <c r="I125" i="1"/>
  <c r="H125" i="1"/>
  <c r="G125" i="1"/>
  <c r="F125" i="1"/>
  <c r="E125" i="1"/>
  <c r="D125" i="1"/>
  <c r="C125" i="1"/>
  <c r="B125" i="1"/>
  <c r="M124" i="1"/>
  <c r="L124" i="1"/>
  <c r="K124" i="1"/>
  <c r="J124" i="1"/>
  <c r="I124" i="1"/>
  <c r="H124" i="1"/>
  <c r="G124" i="1"/>
  <c r="F124" i="1"/>
  <c r="E124" i="1"/>
  <c r="D124" i="1"/>
  <c r="M123" i="1"/>
  <c r="N123" i="1" s="1"/>
  <c r="M122" i="1"/>
  <c r="J122" i="1"/>
  <c r="I122" i="1"/>
  <c r="H122" i="1"/>
  <c r="G122" i="1"/>
  <c r="F122" i="1"/>
  <c r="E122" i="1"/>
  <c r="D122" i="1"/>
  <c r="B12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N120" i="1"/>
  <c r="J119" i="1"/>
  <c r="N119" i="1" s="1"/>
  <c r="M118" i="1"/>
  <c r="D118" i="1"/>
  <c r="N118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M116" i="1"/>
  <c r="L116" i="1"/>
  <c r="K116" i="1"/>
  <c r="J116" i="1"/>
  <c r="I116" i="1"/>
  <c r="H116" i="1"/>
  <c r="G116" i="1"/>
  <c r="F116" i="1"/>
  <c r="E116" i="1"/>
  <c r="C116" i="1"/>
  <c r="B116" i="1"/>
  <c r="M115" i="1"/>
  <c r="D115" i="1"/>
  <c r="M114" i="1"/>
  <c r="L114" i="1"/>
  <c r="L115" i="1" s="1"/>
  <c r="K114" i="1"/>
  <c r="K115" i="1" s="1"/>
  <c r="J114" i="1"/>
  <c r="I114" i="1"/>
  <c r="I115" i="1" s="1"/>
  <c r="H114" i="1"/>
  <c r="H115" i="1" s="1"/>
  <c r="G114" i="1"/>
  <c r="G115" i="1" s="1"/>
  <c r="F114" i="1"/>
  <c r="F115" i="1" s="1"/>
  <c r="E114" i="1"/>
  <c r="E115" i="1" s="1"/>
  <c r="C114" i="1"/>
  <c r="B114" i="1"/>
  <c r="B115" i="1" s="1"/>
  <c r="N113" i="1"/>
  <c r="J113" i="1"/>
  <c r="L112" i="1"/>
  <c r="J112" i="1"/>
  <c r="I112" i="1"/>
  <c r="H112" i="1"/>
  <c r="G112" i="1"/>
  <c r="F112" i="1"/>
  <c r="E112" i="1"/>
  <c r="D112" i="1"/>
  <c r="C112" i="1"/>
  <c r="B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B110" i="1"/>
  <c r="N109" i="1"/>
  <c r="M108" i="1"/>
  <c r="L108" i="1"/>
  <c r="G108" i="1"/>
  <c r="E108" i="1"/>
  <c r="C108" i="1"/>
  <c r="B108" i="1"/>
  <c r="J107" i="1"/>
  <c r="F107" i="1"/>
  <c r="J106" i="1"/>
  <c r="N106" i="1" s="1"/>
  <c r="J105" i="1"/>
  <c r="I105" i="1"/>
  <c r="I108" i="1" s="1"/>
  <c r="H105" i="1"/>
  <c r="F105" i="1"/>
  <c r="J104" i="1"/>
  <c r="H104" i="1"/>
  <c r="F104" i="1"/>
  <c r="D104" i="1"/>
  <c r="D108" i="1" s="1"/>
  <c r="H103" i="1"/>
  <c r="N103" i="1" s="1"/>
  <c r="K102" i="1"/>
  <c r="K108" i="1" s="1"/>
  <c r="J102" i="1"/>
  <c r="F102" i="1"/>
  <c r="N101" i="1"/>
  <c r="J101" i="1"/>
  <c r="N100" i="1"/>
  <c r="M98" i="1"/>
  <c r="K98" i="1"/>
  <c r="J98" i="1"/>
  <c r="N97" i="1"/>
  <c r="I97" i="1"/>
  <c r="I96" i="1"/>
  <c r="H96" i="1"/>
  <c r="G96" i="1"/>
  <c r="E96" i="1"/>
  <c r="D96" i="1"/>
  <c r="C96" i="1"/>
  <c r="L95" i="1"/>
  <c r="K95" i="1"/>
  <c r="I95" i="1"/>
  <c r="D95" i="1"/>
  <c r="G94" i="1"/>
  <c r="N94" i="1" s="1"/>
  <c r="M93" i="1"/>
  <c r="L93" i="1"/>
  <c r="K93" i="1"/>
  <c r="J93" i="1"/>
  <c r="I93" i="1"/>
  <c r="H93" i="1"/>
  <c r="H98" i="1" s="1"/>
  <c r="G93" i="1"/>
  <c r="G98" i="1" s="1"/>
  <c r="F93" i="1"/>
  <c r="F98" i="1" s="1"/>
  <c r="E93" i="1"/>
  <c r="E98" i="1" s="1"/>
  <c r="D93" i="1"/>
  <c r="C93" i="1"/>
  <c r="C98" i="1" s="1"/>
  <c r="B93" i="1"/>
  <c r="B98" i="1" s="1"/>
  <c r="L92" i="1"/>
  <c r="K91" i="1"/>
  <c r="J91" i="1"/>
  <c r="I91" i="1"/>
  <c r="H91" i="1"/>
  <c r="F91" i="1"/>
  <c r="E91" i="1"/>
  <c r="D91" i="1"/>
  <c r="C91" i="1"/>
  <c r="M90" i="1"/>
  <c r="N90" i="1" s="1"/>
  <c r="G90" i="1"/>
  <c r="G91" i="1" s="1"/>
  <c r="B90" i="1"/>
  <c r="B91" i="1" s="1"/>
  <c r="N89" i="1"/>
  <c r="L89" i="1"/>
  <c r="L91" i="1" s="1"/>
  <c r="N88" i="1"/>
  <c r="M86" i="1"/>
  <c r="J86" i="1"/>
  <c r="H86" i="1"/>
  <c r="F86" i="1"/>
  <c r="M85" i="1"/>
  <c r="L85" i="1"/>
  <c r="E85" i="1"/>
  <c r="C85" i="1"/>
  <c r="M84" i="1"/>
  <c r="L84" i="1"/>
  <c r="J84" i="1"/>
  <c r="I84" i="1"/>
  <c r="H84" i="1"/>
  <c r="F84" i="1"/>
  <c r="E84" i="1"/>
  <c r="D84" i="1"/>
  <c r="B84" i="1"/>
  <c r="B87" i="1" s="1"/>
  <c r="M83" i="1"/>
  <c r="J83" i="1"/>
  <c r="I83" i="1"/>
  <c r="H83" i="1"/>
  <c r="G83" i="1"/>
  <c r="F83" i="1"/>
  <c r="E83" i="1"/>
  <c r="D83" i="1"/>
  <c r="N83" i="1" s="1"/>
  <c r="B83" i="1"/>
  <c r="M82" i="1"/>
  <c r="L82" i="1"/>
  <c r="K82" i="1"/>
  <c r="J82" i="1"/>
  <c r="J87" i="1" s="1"/>
  <c r="I82" i="1"/>
  <c r="H82" i="1"/>
  <c r="G82" i="1"/>
  <c r="G87" i="1" s="1"/>
  <c r="F82" i="1"/>
  <c r="E82" i="1"/>
  <c r="D82" i="1"/>
  <c r="C82" i="1"/>
  <c r="B82" i="1"/>
  <c r="M81" i="1"/>
  <c r="L81" i="1"/>
  <c r="K81" i="1"/>
  <c r="K87" i="1" s="1"/>
  <c r="J81" i="1"/>
  <c r="I81" i="1"/>
  <c r="H81" i="1"/>
  <c r="G81" i="1"/>
  <c r="F81" i="1"/>
  <c r="E81" i="1"/>
  <c r="D81" i="1"/>
  <c r="C81" i="1"/>
  <c r="C87" i="1" s="1"/>
  <c r="B81" i="1"/>
  <c r="N80" i="1"/>
  <c r="M79" i="1"/>
  <c r="J79" i="1"/>
  <c r="H79" i="1"/>
  <c r="G79" i="1"/>
  <c r="E79" i="1"/>
  <c r="D79" i="1"/>
  <c r="C79" i="1"/>
  <c r="B79" i="1"/>
  <c r="M78" i="1"/>
  <c r="L78" i="1"/>
  <c r="K78" i="1"/>
  <c r="J78" i="1"/>
  <c r="I78" i="1"/>
  <c r="H78" i="1"/>
  <c r="G78" i="1"/>
  <c r="F78" i="1"/>
  <c r="M77" i="1"/>
  <c r="L77" i="1"/>
  <c r="K77" i="1"/>
  <c r="J77" i="1"/>
  <c r="D77" i="1"/>
  <c r="C77" i="1"/>
  <c r="B77" i="1"/>
  <c r="D76" i="1"/>
  <c r="N76" i="1" s="1"/>
  <c r="F75" i="1"/>
  <c r="D75" i="1"/>
  <c r="B75" i="1"/>
  <c r="L74" i="1"/>
  <c r="F74" i="1"/>
  <c r="B74" i="1"/>
  <c r="M73" i="1"/>
  <c r="L73" i="1"/>
  <c r="K73" i="1"/>
  <c r="J73" i="1"/>
  <c r="I73" i="1"/>
  <c r="H73" i="1"/>
  <c r="G73" i="1"/>
  <c r="F73" i="1"/>
  <c r="E73" i="1"/>
  <c r="D73" i="1"/>
  <c r="C73" i="1"/>
  <c r="B72" i="1"/>
  <c r="B73" i="1" s="1"/>
  <c r="N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K69" i="1"/>
  <c r="J69" i="1"/>
  <c r="I69" i="1"/>
  <c r="H69" i="1"/>
  <c r="G69" i="1"/>
  <c r="F69" i="1"/>
  <c r="E69" i="1"/>
  <c r="D69" i="1"/>
  <c r="I68" i="1"/>
  <c r="H68" i="1"/>
  <c r="G68" i="1"/>
  <c r="E68" i="1"/>
  <c r="N68" i="1" s="1"/>
  <c r="L67" i="1"/>
  <c r="K67" i="1"/>
  <c r="J67" i="1"/>
  <c r="H67" i="1"/>
  <c r="G67" i="1"/>
  <c r="F67" i="1"/>
  <c r="J66" i="1"/>
  <c r="M65" i="1"/>
  <c r="L65" i="1"/>
  <c r="K65" i="1"/>
  <c r="I65" i="1"/>
  <c r="H65" i="1"/>
  <c r="G65" i="1"/>
  <c r="F65" i="1"/>
  <c r="E65" i="1"/>
  <c r="D65" i="1"/>
  <c r="D66" i="1" s="1"/>
  <c r="C65" i="1"/>
  <c r="B65" i="1"/>
  <c r="M64" i="1"/>
  <c r="L64" i="1"/>
  <c r="K64" i="1"/>
  <c r="I64" i="1"/>
  <c r="H64" i="1"/>
  <c r="G64" i="1"/>
  <c r="F64" i="1"/>
  <c r="E64" i="1"/>
  <c r="D64" i="1"/>
  <c r="C64" i="1"/>
  <c r="B64" i="1"/>
  <c r="M63" i="1"/>
  <c r="L63" i="1"/>
  <c r="K63" i="1"/>
  <c r="J63" i="1"/>
  <c r="M62" i="1"/>
  <c r="L62" i="1"/>
  <c r="K62" i="1"/>
  <c r="I62" i="1"/>
  <c r="H62" i="1"/>
  <c r="G62" i="1"/>
  <c r="F62" i="1"/>
  <c r="E62" i="1"/>
  <c r="C62" i="1"/>
  <c r="B62" i="1"/>
  <c r="N61" i="1"/>
  <c r="M60" i="1"/>
  <c r="L60" i="1"/>
  <c r="K60" i="1"/>
  <c r="J60" i="1"/>
  <c r="I60" i="1"/>
  <c r="H60" i="1"/>
  <c r="G60" i="1"/>
  <c r="F60" i="1"/>
  <c r="E60" i="1"/>
  <c r="D60" i="1"/>
  <c r="C60" i="1"/>
  <c r="B60" i="1"/>
  <c r="N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N57" i="1" s="1"/>
  <c r="M56" i="1"/>
  <c r="L56" i="1"/>
  <c r="K56" i="1"/>
  <c r="J56" i="1"/>
  <c r="I56" i="1"/>
  <c r="I59" i="1" s="1"/>
  <c r="H56" i="1"/>
  <c r="G56" i="1"/>
  <c r="F56" i="1"/>
  <c r="E56" i="1"/>
  <c r="D56" i="1"/>
  <c r="C56" i="1"/>
  <c r="B56" i="1"/>
  <c r="M55" i="1"/>
  <c r="L55" i="1"/>
  <c r="K55" i="1"/>
  <c r="K59" i="1" s="1"/>
  <c r="J55" i="1"/>
  <c r="J59" i="1" s="1"/>
  <c r="I55" i="1"/>
  <c r="H55" i="1"/>
  <c r="G55" i="1"/>
  <c r="F55" i="1"/>
  <c r="E55" i="1"/>
  <c r="D55" i="1"/>
  <c r="C55" i="1"/>
  <c r="C59" i="1" s="1"/>
  <c r="B55" i="1"/>
  <c r="B59" i="1" s="1"/>
  <c r="N54" i="1"/>
  <c r="I53" i="1"/>
  <c r="F53" i="1"/>
  <c r="E53" i="1"/>
  <c r="D53" i="1"/>
  <c r="M52" i="1"/>
  <c r="L52" i="1"/>
  <c r="K52" i="1"/>
  <c r="J52" i="1"/>
  <c r="M51" i="1"/>
  <c r="M53" i="1" s="1"/>
  <c r="L51" i="1"/>
  <c r="L53" i="1" s="1"/>
  <c r="K51" i="1"/>
  <c r="K53" i="1" s="1"/>
  <c r="J51" i="1"/>
  <c r="J53" i="1" s="1"/>
  <c r="I51" i="1"/>
  <c r="H51" i="1"/>
  <c r="H53" i="1" s="1"/>
  <c r="G51" i="1"/>
  <c r="G53" i="1" s="1"/>
  <c r="F51" i="1"/>
  <c r="E51" i="1"/>
  <c r="D51" i="1"/>
  <c r="C51" i="1"/>
  <c r="C53" i="1" s="1"/>
  <c r="B51" i="1"/>
  <c r="B53" i="1" s="1"/>
  <c r="N50" i="1"/>
  <c r="J49" i="1"/>
  <c r="I49" i="1"/>
  <c r="H49" i="1"/>
  <c r="G49" i="1"/>
  <c r="F49" i="1"/>
  <c r="E49" i="1"/>
  <c r="D49" i="1"/>
  <c r="C49" i="1"/>
  <c r="B49" i="1"/>
  <c r="L48" i="1"/>
  <c r="K48" i="1"/>
  <c r="K49" i="1" s="1"/>
  <c r="M47" i="1"/>
  <c r="L47" i="1"/>
  <c r="N47" i="1" s="1"/>
  <c r="M46" i="1"/>
  <c r="M49" i="1" s="1"/>
  <c r="L46" i="1"/>
  <c r="M43" i="1"/>
  <c r="E43" i="1"/>
  <c r="C43" i="1"/>
  <c r="M42" i="1"/>
  <c r="L42" i="1"/>
  <c r="L43" i="1" s="1"/>
  <c r="K42" i="1"/>
  <c r="K43" i="1" s="1"/>
  <c r="I42" i="1"/>
  <c r="I43" i="1" s="1"/>
  <c r="H42" i="1"/>
  <c r="H43" i="1" s="1"/>
  <c r="G42" i="1"/>
  <c r="G43" i="1" s="1"/>
  <c r="F42" i="1"/>
  <c r="F43" i="1" s="1"/>
  <c r="E42" i="1"/>
  <c r="D42" i="1"/>
  <c r="D43" i="1" s="1"/>
  <c r="C42" i="1"/>
  <c r="B42" i="1"/>
  <c r="B43" i="1" s="1"/>
  <c r="J41" i="1"/>
  <c r="N41" i="1" s="1"/>
  <c r="N40" i="1"/>
  <c r="M37" i="1"/>
  <c r="K37" i="1"/>
  <c r="M36" i="1"/>
  <c r="L36" i="1"/>
  <c r="L37" i="1" s="1"/>
  <c r="K36" i="1"/>
  <c r="J36" i="1"/>
  <c r="I36" i="1"/>
  <c r="I37" i="1" s="1"/>
  <c r="H36" i="1"/>
  <c r="H37" i="1" s="1"/>
  <c r="G36" i="1"/>
  <c r="F36" i="1"/>
  <c r="F37" i="1" s="1"/>
  <c r="E36" i="1"/>
  <c r="E37" i="1" s="1"/>
  <c r="D36" i="1"/>
  <c r="D37" i="1" s="1"/>
  <c r="C36" i="1"/>
  <c r="C37" i="1" s="1"/>
  <c r="B36" i="1"/>
  <c r="B37" i="1" s="1"/>
  <c r="J35" i="1"/>
  <c r="G34" i="1"/>
  <c r="N34" i="1" s="1"/>
  <c r="K33" i="1"/>
  <c r="I33" i="1"/>
  <c r="G33" i="1"/>
  <c r="M32" i="1"/>
  <c r="M33" i="1" s="1"/>
  <c r="L32" i="1"/>
  <c r="L33" i="1" s="1"/>
  <c r="K32" i="1"/>
  <c r="J32" i="1"/>
  <c r="J33" i="1" s="1"/>
  <c r="I32" i="1"/>
  <c r="H32" i="1"/>
  <c r="H33" i="1" s="1"/>
  <c r="G32" i="1"/>
  <c r="F32" i="1"/>
  <c r="F33" i="1" s="1"/>
  <c r="D32" i="1"/>
  <c r="D33" i="1" s="1"/>
  <c r="C32" i="1"/>
  <c r="E31" i="1"/>
  <c r="E32" i="1" s="1"/>
  <c r="E33" i="1" s="1"/>
  <c r="B31" i="1"/>
  <c r="B30" i="1"/>
  <c r="N30" i="1" s="1"/>
  <c r="B29" i="1"/>
  <c r="B32" i="1" s="1"/>
  <c r="B33" i="1" s="1"/>
  <c r="N28" i="1"/>
  <c r="C27" i="1"/>
  <c r="N27" i="1" s="1"/>
  <c r="N26" i="1"/>
  <c r="F25" i="1"/>
  <c r="D25" i="1"/>
  <c r="C25" i="1"/>
  <c r="B25" i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G25" i="1" s="1"/>
  <c r="F24" i="1"/>
  <c r="E24" i="1"/>
  <c r="N23" i="1"/>
  <c r="G22" i="1"/>
  <c r="N22" i="1" s="1"/>
  <c r="M21" i="1"/>
  <c r="L21" i="1"/>
  <c r="K21" i="1"/>
  <c r="D21" i="1"/>
  <c r="C21" i="1"/>
  <c r="B21" i="1"/>
  <c r="I20" i="1"/>
  <c r="H20" i="1"/>
  <c r="G20" i="1"/>
  <c r="E20" i="1"/>
  <c r="E21" i="1" s="1"/>
  <c r="N19" i="1"/>
  <c r="I19" i="1"/>
  <c r="H19" i="1"/>
  <c r="G19" i="1"/>
  <c r="F19" i="1"/>
  <c r="F21" i="1" s="1"/>
  <c r="J18" i="1"/>
  <c r="N18" i="1" s="1"/>
  <c r="J17" i="1"/>
  <c r="J21" i="1" s="1"/>
  <c r="I17" i="1"/>
  <c r="G17" i="1"/>
  <c r="N16" i="1"/>
  <c r="I15" i="1"/>
  <c r="G15" i="1"/>
  <c r="B15" i="1"/>
  <c r="M14" i="1"/>
  <c r="L14" i="1"/>
  <c r="K14" i="1"/>
  <c r="K15" i="1" s="1"/>
  <c r="J14" i="1"/>
  <c r="H14" i="1"/>
  <c r="H15" i="1" s="1"/>
  <c r="F14" i="1"/>
  <c r="F15" i="1" s="1"/>
  <c r="E14" i="1"/>
  <c r="E15" i="1" s="1"/>
  <c r="D14" i="1"/>
  <c r="D15" i="1" s="1"/>
  <c r="D38" i="1" s="1"/>
  <c r="D44" i="1" s="1"/>
  <c r="C14" i="1"/>
  <c r="C15" i="1" s="1"/>
  <c r="B14" i="1"/>
  <c r="M13" i="1"/>
  <c r="M15" i="1" s="1"/>
  <c r="L13" i="1"/>
  <c r="L15" i="1" s="1"/>
  <c r="J13" i="1"/>
  <c r="J15" i="1" s="1"/>
  <c r="N12" i="1"/>
  <c r="N10" i="1"/>
  <c r="M10" i="1"/>
  <c r="L10" i="1"/>
  <c r="K10" i="1"/>
  <c r="J10" i="1"/>
  <c r="I10" i="1"/>
  <c r="G10" i="1"/>
  <c r="F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K11" i="1" s="1"/>
  <c r="J8" i="1"/>
  <c r="J11" i="1" s="1"/>
  <c r="I8" i="1"/>
  <c r="H8" i="1"/>
  <c r="G8" i="1"/>
  <c r="F8" i="1"/>
  <c r="E8" i="1"/>
  <c r="D8" i="1"/>
  <c r="D11" i="1" s="1"/>
  <c r="C8" i="1"/>
  <c r="C11" i="1" s="1"/>
  <c r="B8" i="1"/>
  <c r="B11" i="1" s="1"/>
  <c r="N7" i="1"/>
  <c r="H66" i="1" l="1"/>
  <c r="M91" i="1"/>
  <c r="K38" i="1"/>
  <c r="K44" i="1" s="1"/>
  <c r="N77" i="1"/>
  <c r="N114" i="1"/>
  <c r="N152" i="1"/>
  <c r="G66" i="1"/>
  <c r="I98" i="1"/>
  <c r="I131" i="1"/>
  <c r="H155" i="1"/>
  <c r="G155" i="1"/>
  <c r="N67" i="1"/>
  <c r="E11" i="1"/>
  <c r="M11" i="1"/>
  <c r="M38" i="1" s="1"/>
  <c r="M44" i="1" s="1"/>
  <c r="I11" i="1"/>
  <c r="J42" i="1"/>
  <c r="J43" i="1" s="1"/>
  <c r="N43" i="1" s="1"/>
  <c r="N48" i="1"/>
  <c r="N52" i="1"/>
  <c r="F59" i="1"/>
  <c r="N107" i="1"/>
  <c r="N117" i="1"/>
  <c r="N125" i="1"/>
  <c r="K155" i="1"/>
  <c r="N64" i="1"/>
  <c r="N13" i="1"/>
  <c r="G59" i="1"/>
  <c r="C131" i="1"/>
  <c r="K131" i="1"/>
  <c r="K132" i="1" s="1"/>
  <c r="I155" i="1"/>
  <c r="N153" i="1"/>
  <c r="N29" i="1"/>
  <c r="N124" i="1"/>
  <c r="I66" i="1"/>
  <c r="N82" i="1"/>
  <c r="F11" i="1"/>
  <c r="F38" i="1" s="1"/>
  <c r="F44" i="1" s="1"/>
  <c r="G11" i="1"/>
  <c r="H21" i="1"/>
  <c r="G37" i="1"/>
  <c r="C66" i="1"/>
  <c r="C99" i="1" s="1"/>
  <c r="M66" i="1"/>
  <c r="N69" i="1"/>
  <c r="N78" i="1"/>
  <c r="N79" i="1"/>
  <c r="I87" i="1"/>
  <c r="N91" i="1"/>
  <c r="D98" i="1"/>
  <c r="N96" i="1"/>
  <c r="F108" i="1"/>
  <c r="D131" i="1"/>
  <c r="L131" i="1"/>
  <c r="L132" i="1" s="1"/>
  <c r="N135" i="1"/>
  <c r="B142" i="1"/>
  <c r="J155" i="1"/>
  <c r="N143" i="1"/>
  <c r="N146" i="1"/>
  <c r="B38" i="1"/>
  <c r="M87" i="1"/>
  <c r="H131" i="1"/>
  <c r="H132" i="1" s="1"/>
  <c r="N134" i="1"/>
  <c r="F87" i="1"/>
  <c r="N9" i="1"/>
  <c r="N14" i="1"/>
  <c r="E59" i="1"/>
  <c r="M59" i="1"/>
  <c r="E66" i="1"/>
  <c r="N63" i="1"/>
  <c r="F66" i="1"/>
  <c r="N81" i="1"/>
  <c r="N105" i="1"/>
  <c r="N110" i="1"/>
  <c r="N112" i="1"/>
  <c r="E131" i="1"/>
  <c r="M131" i="1"/>
  <c r="N151" i="1"/>
  <c r="N102" i="1"/>
  <c r="N111" i="1"/>
  <c r="N116" i="1"/>
  <c r="G131" i="1"/>
  <c r="G132" i="1" s="1"/>
  <c r="G156" i="1" s="1"/>
  <c r="N122" i="1"/>
  <c r="E155" i="1"/>
  <c r="M155" i="1"/>
  <c r="N15" i="1"/>
  <c r="B44" i="1"/>
  <c r="N8" i="1"/>
  <c r="N32" i="1"/>
  <c r="N35" i="1"/>
  <c r="J37" i="1"/>
  <c r="J38" i="1" s="1"/>
  <c r="J44" i="1" s="1"/>
  <c r="G99" i="1"/>
  <c r="I99" i="1"/>
  <c r="B155" i="1"/>
  <c r="N142" i="1"/>
  <c r="C33" i="1"/>
  <c r="N33" i="1" s="1"/>
  <c r="N36" i="1"/>
  <c r="N55" i="1"/>
  <c r="N37" i="1"/>
  <c r="N42" i="1"/>
  <c r="N46" i="1"/>
  <c r="L49" i="1"/>
  <c r="H11" i="1"/>
  <c r="H38" i="1" s="1"/>
  <c r="H44" i="1" s="1"/>
  <c r="L11" i="1"/>
  <c r="L38" i="1" s="1"/>
  <c r="L44" i="1" s="1"/>
  <c r="I21" i="1"/>
  <c r="I38" i="1" s="1"/>
  <c r="I44" i="1" s="1"/>
  <c r="N56" i="1"/>
  <c r="N60" i="1"/>
  <c r="K66" i="1"/>
  <c r="K99" i="1" s="1"/>
  <c r="N17" i="1"/>
  <c r="G21" i="1"/>
  <c r="G38" i="1" s="1"/>
  <c r="G44" i="1" s="1"/>
  <c r="E25" i="1"/>
  <c r="N25" i="1" s="1"/>
  <c r="N24" i="1"/>
  <c r="N31" i="1"/>
  <c r="N51" i="1"/>
  <c r="J99" i="1"/>
  <c r="F99" i="1"/>
  <c r="N53" i="1"/>
  <c r="D59" i="1"/>
  <c r="H59" i="1"/>
  <c r="L59" i="1"/>
  <c r="N62" i="1"/>
  <c r="L66" i="1"/>
  <c r="B66" i="1"/>
  <c r="N66" i="1" s="1"/>
  <c r="E87" i="1"/>
  <c r="E99" i="1" s="1"/>
  <c r="E156" i="1" s="1"/>
  <c r="N84" i="1"/>
  <c r="N86" i="1"/>
  <c r="N70" i="1"/>
  <c r="L98" i="1"/>
  <c r="N98" i="1" s="1"/>
  <c r="N92" i="1"/>
  <c r="N95" i="1"/>
  <c r="H108" i="1"/>
  <c r="N108" i="1" s="1"/>
  <c r="E132" i="1"/>
  <c r="I132" i="1"/>
  <c r="I156" i="1" s="1"/>
  <c r="M132" i="1"/>
  <c r="C115" i="1"/>
  <c r="N115" i="1" s="1"/>
  <c r="N140" i="1"/>
  <c r="N73" i="1"/>
  <c r="N75" i="1"/>
  <c r="N93" i="1"/>
  <c r="N104" i="1"/>
  <c r="N149" i="1"/>
  <c r="N154" i="1"/>
  <c r="N20" i="1"/>
  <c r="N65" i="1"/>
  <c r="N72" i="1"/>
  <c r="N74" i="1"/>
  <c r="D87" i="1"/>
  <c r="H87" i="1"/>
  <c r="N87" i="1" s="1"/>
  <c r="L87" i="1"/>
  <c r="N85" i="1"/>
  <c r="J108" i="1"/>
  <c r="J115" i="1"/>
  <c r="B131" i="1"/>
  <c r="F131" i="1"/>
  <c r="F132" i="1" s="1"/>
  <c r="J131" i="1"/>
  <c r="N138" i="1"/>
  <c r="D155" i="1"/>
  <c r="L155" i="1"/>
  <c r="D132" i="1"/>
  <c r="N144" i="1"/>
  <c r="N145" i="1"/>
  <c r="C155" i="1"/>
  <c r="N148" i="1"/>
  <c r="N121" i="1"/>
  <c r="H99" i="1" l="1"/>
  <c r="H156" i="1" s="1"/>
  <c r="D99" i="1"/>
  <c r="D156" i="1" s="1"/>
  <c r="D157" i="1" s="1"/>
  <c r="D158" i="1" s="1"/>
  <c r="G157" i="1"/>
  <c r="G158" i="1" s="1"/>
  <c r="K156" i="1"/>
  <c r="K157" i="1" s="1"/>
  <c r="K158" i="1" s="1"/>
  <c r="M99" i="1"/>
  <c r="M156" i="1" s="1"/>
  <c r="M157" i="1" s="1"/>
  <c r="M158" i="1" s="1"/>
  <c r="J132" i="1"/>
  <c r="J156" i="1" s="1"/>
  <c r="J157" i="1" s="1"/>
  <c r="J158" i="1" s="1"/>
  <c r="L99" i="1"/>
  <c r="F156" i="1"/>
  <c r="I157" i="1"/>
  <c r="I158" i="1" s="1"/>
  <c r="N131" i="1"/>
  <c r="L156" i="1"/>
  <c r="L157" i="1" s="1"/>
  <c r="L158" i="1" s="1"/>
  <c r="N11" i="1"/>
  <c r="B99" i="1"/>
  <c r="N155" i="1"/>
  <c r="N49" i="1"/>
  <c r="F157" i="1"/>
  <c r="F158" i="1" s="1"/>
  <c r="E38" i="1"/>
  <c r="E44" i="1" s="1"/>
  <c r="E157" i="1" s="1"/>
  <c r="E158" i="1" s="1"/>
  <c r="N59" i="1"/>
  <c r="C132" i="1"/>
  <c r="C156" i="1" s="1"/>
  <c r="C38" i="1"/>
  <c r="H157" i="1"/>
  <c r="H158" i="1" s="1"/>
  <c r="B132" i="1"/>
  <c r="N21" i="1"/>
  <c r="N132" i="1" l="1"/>
  <c r="N99" i="1"/>
  <c r="B156" i="1"/>
  <c r="C44" i="1"/>
  <c r="N38" i="1"/>
  <c r="C157" i="1" l="1"/>
  <c r="C158" i="1" s="1"/>
  <c r="N44" i="1"/>
  <c r="N156" i="1"/>
  <c r="B157" i="1"/>
  <c r="B158" i="1" l="1"/>
  <c r="N158" i="1" s="1"/>
  <c r="N157" i="1"/>
</calcChain>
</file>

<file path=xl/sharedStrings.xml><?xml version="1.0" encoding="utf-8"?>
<sst xmlns="http://schemas.openxmlformats.org/spreadsheetml/2006/main" count="170" uniqueCount="170">
  <si>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</si>
  <si>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</si>
  <si>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</si>
  <si>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</si>
  <si>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</si>
  <si>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</si>
  <si>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</si>
  <si>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</si>
  <si>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</si>
  <si>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</si>
  <si>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</si>
  <si>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</si>
  <si>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Total</t>
  </si>
  <si>
    <t>Revenue</t>
  </si>
  <si>
    <t xml:space="preserve">   40000 Donations - Individuals</t>
  </si>
  <si>
    <t xml:space="preserve">      40100 Contributions - Individuals Unr</t>
  </si>
  <si>
    <t xml:space="preserve">      40200 Contributins - Corp &amp; Fond. Unr</t>
  </si>
  <si>
    <t xml:space="preserve">      40500 Contributions - Individuals-TR</t>
  </si>
  <si>
    <t xml:space="preserve">   Total 40000 Donations - Individuals</t>
  </si>
  <si>
    <t xml:space="preserve">   41000 Grant Income - Private</t>
  </si>
  <si>
    <t xml:space="preserve">      41100 Grants - Private - Unrestricted</t>
  </si>
  <si>
    <t xml:space="preserve">      41300 Grants - Private - OVC</t>
  </si>
  <si>
    <t xml:space="preserve">   Total 41000 Grant Income - Private</t>
  </si>
  <si>
    <t xml:space="preserve">   42000 Annual Dinner Income</t>
  </si>
  <si>
    <t xml:space="preserve">      42100 Annual Dinner Ticket Sales</t>
  </si>
  <si>
    <t xml:space="preserve">      42102. Annual Dinner Silent Auction Revenue</t>
  </si>
  <si>
    <t xml:space="preserve">      42500 Annual Dinner Table Sponsor</t>
  </si>
  <si>
    <t xml:space="preserve">      42510 Annual Dinner Event Sponsor</t>
  </si>
  <si>
    <t xml:space="preserve">   Total 42000 Annual Dinner Income</t>
  </si>
  <si>
    <t xml:space="preserve">   43000 Fundraising Income</t>
  </si>
  <si>
    <t xml:space="preserve">   45000 Repurposed Goods Income</t>
  </si>
  <si>
    <t xml:space="preserve">      45100 ReStore - Repuprosed Goods Inc.</t>
  </si>
  <si>
    <t xml:space="preserve">   Total 45000 Repurposed Goods Income</t>
  </si>
  <si>
    <t xml:space="preserve">   46000 Product Sales</t>
  </si>
  <si>
    <t xml:space="preserve">      46200 Farm to Table - Packaged Prod.</t>
  </si>
  <si>
    <t xml:space="preserve">      46300 Online Sales</t>
  </si>
  <si>
    <t xml:space="preserve">         46302 Online Sales  - Candles</t>
  </si>
  <si>
    <t xml:space="preserve">         46303 Online Sales - T-Shirts</t>
  </si>
  <si>
    <t xml:space="preserve">         46305 Miscellaneous Item</t>
  </si>
  <si>
    <t xml:space="preserve">      Total 46300 Online Sales</t>
  </si>
  <si>
    <t xml:space="preserve">   Total 46000 Product Sales</t>
  </si>
  <si>
    <t xml:space="preserve">   49000 Miscellaneous Income</t>
  </si>
  <si>
    <t xml:space="preserve">      49002 PPP Loan Income</t>
  </si>
  <si>
    <t xml:space="preserve">      49100 Interest Income</t>
  </si>
  <si>
    <t xml:space="preserve">   Total 49000 Miscellaneous Income</t>
  </si>
  <si>
    <t>Total Revenue</t>
  </si>
  <si>
    <t>Cost of Goods Sold</t>
  </si>
  <si>
    <t xml:space="preserve">   51000 Cost of Goods</t>
  </si>
  <si>
    <t xml:space="preserve">      510002 Cost of Goods - ReStore</t>
  </si>
  <si>
    <t xml:space="preserve">   Total 51000 Cost of Goods</t>
  </si>
  <si>
    <t>Total Cost of Goods Sold</t>
  </si>
  <si>
    <t>Gross Profit</t>
  </si>
  <si>
    <t>Expenditures</t>
  </si>
  <si>
    <t xml:space="preserve">   50000 Social Enterprise Expense</t>
  </si>
  <si>
    <t xml:space="preserve">      50100 Food</t>
  </si>
  <si>
    <t xml:space="preserve">      50200 Equipment &amp; Supplies</t>
  </si>
  <si>
    <t xml:space="preserve">   Total 50000 Social Enterprise Expense</t>
  </si>
  <si>
    <t xml:space="preserve">   62000 Program Expenses</t>
  </si>
  <si>
    <t xml:space="preserve">      62100 Salary Expense</t>
  </si>
  <si>
    <t xml:space="preserve">         62101 Healthcare Benefit</t>
  </si>
  <si>
    <t xml:space="preserve">      Total 62100 Salary Expense</t>
  </si>
  <si>
    <t xml:space="preserve">      62110 Payroll Taxes</t>
  </si>
  <si>
    <t xml:space="preserve">         6211001 Medicare Taxes Expense</t>
  </si>
  <si>
    <t xml:space="preserve">         6211002 Social Security Tax Expense</t>
  </si>
  <si>
    <t xml:space="preserve">         6211004 State Unemployment Tax</t>
  </si>
  <si>
    <t xml:space="preserve">         6211005 Payroll Taxes Other</t>
  </si>
  <si>
    <t xml:space="preserve">      Total 62110 Payroll Taxes</t>
  </si>
  <si>
    <t xml:space="preserve">      62111 Payroll Processing</t>
  </si>
  <si>
    <t xml:space="preserve">      62114 Contract Labor</t>
  </si>
  <si>
    <t xml:space="preserve">         6211401 PRN</t>
  </si>
  <si>
    <t xml:space="preserve">         6211403 Yoga</t>
  </si>
  <si>
    <t xml:space="preserve">         6211404 Other Therapy</t>
  </si>
  <si>
    <t xml:space="preserve">         6211405 Contract Labor - Other</t>
  </si>
  <si>
    <t xml:space="preserve">      Total 62114 Contract Labor</t>
  </si>
  <si>
    <t xml:space="preserve">      62115 Resident Transitional Expense</t>
  </si>
  <si>
    <t xml:space="preserve">      62117 Staff Training</t>
  </si>
  <si>
    <t xml:space="preserve">      62120 Medical Expense</t>
  </si>
  <si>
    <t xml:space="preserve">      62130 Medical - Prescription Drugs</t>
  </si>
  <si>
    <t xml:space="preserve">      62131 Drug &amp; Alcohol Screens</t>
  </si>
  <si>
    <t xml:space="preserve">         6213101 Resident Screens</t>
  </si>
  <si>
    <t xml:space="preserve">      Total 62131 Drug &amp; Alcohol Screens</t>
  </si>
  <si>
    <t xml:space="preserve">      62132 Dental Expense</t>
  </si>
  <si>
    <t xml:space="preserve">      62140 Mental Health &amp; Counseling</t>
  </si>
  <si>
    <t xml:space="preserve">      62145 Vision Expense</t>
  </si>
  <si>
    <t xml:space="preserve">      62150 Curriculum</t>
  </si>
  <si>
    <t xml:space="preserve">      62160 Stipends</t>
  </si>
  <si>
    <t xml:space="preserve">      62170 Social Activities</t>
  </si>
  <si>
    <t xml:space="preserve">      62171 Participant Needs</t>
  </si>
  <si>
    <t xml:space="preserve">         6217101 Cell Phones</t>
  </si>
  <si>
    <t xml:space="preserve">         6217102 Cigarettes/Vapes</t>
  </si>
  <si>
    <t xml:space="preserve">         6217103 Clothing</t>
  </si>
  <si>
    <t xml:space="preserve">         6217104 Gifts/Incentives</t>
  </si>
  <si>
    <t xml:space="preserve">         6217105 Personal Items</t>
  </si>
  <si>
    <t xml:space="preserve">         6217106 Other</t>
  </si>
  <si>
    <t xml:space="preserve">      Total 62171 Participant Needs</t>
  </si>
  <si>
    <t xml:space="preserve">      62172 Legal Fees</t>
  </si>
  <si>
    <t xml:space="preserve">         621721 Legal Fees-Social Services Fees</t>
  </si>
  <si>
    <t xml:space="preserve">         621722 Legal Fees-Court Fees</t>
  </si>
  <si>
    <t xml:space="preserve">      Total 62172 Legal Fees</t>
  </si>
  <si>
    <t xml:space="preserve">      62180 Transportation Expense</t>
  </si>
  <si>
    <t xml:space="preserve">         621801 Fuel</t>
  </si>
  <si>
    <t xml:space="preserve">         621802 Insurance</t>
  </si>
  <si>
    <t xml:space="preserve">         621803 Maintenance &amp; Repairs</t>
  </si>
  <si>
    <t xml:space="preserve">         621804 Tags &amp; License Fees</t>
  </si>
  <si>
    <t xml:space="preserve">         621806 Parking</t>
  </si>
  <si>
    <t xml:space="preserve">      Total 62180 Transportation Expense</t>
  </si>
  <si>
    <t xml:space="preserve">   Total 62000 Program Expenses</t>
  </si>
  <si>
    <t xml:space="preserve">   63000 Fundraising Expenses</t>
  </si>
  <si>
    <t xml:space="preserve">      63010 Food</t>
  </si>
  <si>
    <t xml:space="preserve">      63020 Entertainment</t>
  </si>
  <si>
    <t xml:space="preserve">      63030 Decor</t>
  </si>
  <si>
    <t xml:space="preserve">      63040 Rentals</t>
  </si>
  <si>
    <t xml:space="preserve">      63050 Other Expenses</t>
  </si>
  <si>
    <t xml:space="preserve">      63060 Print Materials</t>
  </si>
  <si>
    <t xml:space="preserve">      63070 Music</t>
  </si>
  <si>
    <t xml:space="preserve">   Total 63000 Fundraising Expenses</t>
  </si>
  <si>
    <t xml:space="preserve">   64000 General and Administrative</t>
  </si>
  <si>
    <t xml:space="preserve">      64100 GA - Office Supplies</t>
  </si>
  <si>
    <t xml:space="preserve">      64200 GA - Technology Expenses</t>
  </si>
  <si>
    <t xml:space="preserve">      64250 GA - Staff Luncheons/Incentives</t>
  </si>
  <si>
    <t xml:space="preserve">      64300 GA - Training &amp; Development</t>
  </si>
  <si>
    <t xml:space="preserve">         643010 Volunteer Training</t>
  </si>
  <si>
    <t xml:space="preserve">      Total 64300 GA - Training &amp; Development</t>
  </si>
  <si>
    <t xml:space="preserve">      64306 GA - Cell Phones</t>
  </si>
  <si>
    <t xml:space="preserve">      64350 GA - Dues &amp; Memberships</t>
  </si>
  <si>
    <t xml:space="preserve">      64400 GA - Board Insurance</t>
  </si>
  <si>
    <t xml:space="preserve">      64500 GA - Audit &amp; Accounting</t>
  </si>
  <si>
    <t xml:space="preserve">      64550 GA - Administrative Expense</t>
  </si>
  <si>
    <t xml:space="preserve">         645500 GA - Online Processing Fees</t>
  </si>
  <si>
    <t xml:space="preserve">         645502 GA - Postage &amp; PO Boxes</t>
  </si>
  <si>
    <t xml:space="preserve">         645503 GA - Bank Fees</t>
  </si>
  <si>
    <t xml:space="preserve">         645504 GA - Donations to Hmn Traf Orgs</t>
  </si>
  <si>
    <t xml:space="preserve">         645506 GA - Licensing &amp; Fees</t>
  </si>
  <si>
    <t xml:space="preserve">         645507 GA - Marketing</t>
  </si>
  <si>
    <t xml:space="preserve">         645508 GA - Storage</t>
  </si>
  <si>
    <t xml:space="preserve">         645509 GA - Travel/Conferences &amp; Aware</t>
  </si>
  <si>
    <t xml:space="preserve">         645511 GA - Contract Labor</t>
  </si>
  <si>
    <t xml:space="preserve">         645599 GA - Administrative Exp - Other</t>
  </si>
  <si>
    <t xml:space="preserve">      Total 64550 GA - Administrative Expense</t>
  </si>
  <si>
    <t xml:space="preserve">   Total 64000 General and Administrative</t>
  </si>
  <si>
    <t xml:space="preserve">   65000 ReStore</t>
  </si>
  <si>
    <t xml:space="preserve">      65020 ReStore - Supplies - Repurpose</t>
  </si>
  <si>
    <t xml:space="preserve">   Total 65000 ReStore</t>
  </si>
  <si>
    <t xml:space="preserve">   67400 T-shirt Expense</t>
  </si>
  <si>
    <t xml:space="preserve">   68000 Occupancy Expense</t>
  </si>
  <si>
    <t xml:space="preserve">      68020 OE - Property Insurance</t>
  </si>
  <si>
    <t xml:space="preserve">      68110 OE - Maintenance</t>
  </si>
  <si>
    <t xml:space="preserve">         681103 OE - Maintenance - Other</t>
  </si>
  <si>
    <t xml:space="preserve">         681104 Appliance &amp; Equipment Replacemt</t>
  </si>
  <si>
    <t xml:space="preserve">      Total 68110 OE - Maintenance</t>
  </si>
  <si>
    <t xml:space="preserve">      68120 OE - Decor &amp; Furniture</t>
  </si>
  <si>
    <t xml:space="preserve">      68130 OE - Food</t>
  </si>
  <si>
    <t xml:space="preserve">      68140 OE - TV Service</t>
  </si>
  <si>
    <t xml:space="preserve">      68150 OE - ATT Phone/Internet</t>
  </si>
  <si>
    <t xml:space="preserve">      68160 OE - Electric &amp; Gas</t>
  </si>
  <si>
    <t xml:space="preserve">         681601 OE - Electric</t>
  </si>
  <si>
    <t xml:space="preserve">      Total 68160 OE - Electric &amp; Gas</t>
  </si>
  <si>
    <t xml:space="preserve">      68162 OE - Security Monitoring</t>
  </si>
  <si>
    <t xml:space="preserve">      68170 OE - Water</t>
  </si>
  <si>
    <t xml:space="preserve">      68180 OE - Pest Control</t>
  </si>
  <si>
    <t xml:space="preserve">      68190 OE - Trash Service</t>
  </si>
  <si>
    <t xml:space="preserve">      68200 OE - House Supplies</t>
  </si>
  <si>
    <t xml:space="preserve">   Total 68000 Occupancy Expense</t>
  </si>
  <si>
    <t>Total Expenditures</t>
  </si>
  <si>
    <t>Net Operating Revenue</t>
  </si>
  <si>
    <t>Net Revenue</t>
  </si>
  <si>
    <t>Monday, Jan 10, 2022 05:50:53 PM GMT-8 - Accrual Basis</t>
  </si>
  <si>
    <t>Rest Stop Ministries, Inc.</t>
  </si>
  <si>
    <t>P&amp;L High Level</t>
  </si>
  <si>
    <t>January -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</si>
</sst>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2"/>
  <sheetViews>
    <sheetView tabSelected="1" workbookViewId="0">
      <selection sqref="A1:N1"/>
    </sheetView>
  </sheetViews>
  <sheetFormatPr defaultRowHeight="14.4" x14ac:dyDescent="0.55000000000000004"/>
  <cols>
    <col min="1" max="1" width="43" customWidth="1"/>
    <col min="2" max="2" width="11.15625" customWidth="1"/>
    <col min="3" max="3" width="10.26171875" customWidth="1"/>
    <col min="4" max="4" width="11.15625" customWidth="1"/>
    <col min="5" max="8" width="9.41796875" customWidth="1"/>
    <col min="9" max="9" width="11.15625" customWidth="1"/>
    <col min="10" max="10" width="10.26171875" customWidth="1"/>
    <col min="11" max="12" width="9.41796875" customWidth="1"/>
    <col min="13" max="14" width="10.26171875" customWidth="1"/>
  </cols>
  <sheetData>
    <row r="1" spans="1:14" ht="17.7" x14ac:dyDescent="0.6">
      <c r="A1" s="10" t="s">
        <v>167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7.7" x14ac:dyDescent="0.6">
      <c r="A2" s="10" t="s">
        <v>168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55000000000000004">
      <c r="A3" s="11" t="s">
        <v>169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5" spans="1:14" x14ac:dyDescent="0.55000000000000004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55000000000000004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55000000000000004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f t="shared" ref="N7:N38" si="0">(((((((((((B7)+(C7))+(D7))+(E7))+(F7))+(G7))+(H7))+(I7))+(J7))+(K7))+(L7))+(M7)</f>
        <v>0</v>
      </c>
    </row>
    <row r="8" spans="1:14" x14ac:dyDescent="0.55000000000000004">
      <c r="A8" s="3" t="s">
        <v>15</v>
      </c>
      <c r="B8" s="5">
        <f>5988</f>
        <v>5988</v>
      </c>
      <c r="C8" s="5">
        <f>4331</f>
        <v>4331</v>
      </c>
      <c r="D8" s="5">
        <f>6844.97</f>
        <v>6844.97</v>
      </c>
      <c r="E8" s="5">
        <f>10575.7</f>
        <v>10575.7</v>
      </c>
      <c r="F8" s="5">
        <f>20254.25</f>
        <v>20254.25</v>
      </c>
      <c r="G8" s="5">
        <f>3836</f>
        <v>3836</v>
      </c>
      <c r="H8" s="5">
        <f>6641</f>
        <v>6641</v>
      </c>
      <c r="I8" s="5">
        <f>5280</f>
        <v>5280</v>
      </c>
      <c r="J8" s="5">
        <f>36470</f>
        <v>36470</v>
      </c>
      <c r="K8" s="5">
        <f>9460</f>
        <v>9460</v>
      </c>
      <c r="L8" s="5">
        <f>10036</f>
        <v>10036</v>
      </c>
      <c r="M8" s="5">
        <f>50238</f>
        <v>50238</v>
      </c>
      <c r="N8" s="5">
        <f t="shared" si="0"/>
        <v>169954.91999999998</v>
      </c>
    </row>
    <row r="9" spans="1:14" x14ac:dyDescent="0.55000000000000004">
      <c r="A9" s="3" t="s">
        <v>16</v>
      </c>
      <c r="B9" s="5">
        <f>3519.53</f>
        <v>3519.53</v>
      </c>
      <c r="C9" s="5">
        <f>4441.15</f>
        <v>4441.1499999999996</v>
      </c>
      <c r="D9" s="5">
        <f>7583.45</f>
        <v>7583.45</v>
      </c>
      <c r="E9" s="5">
        <f>1603.88</f>
        <v>1603.88</v>
      </c>
      <c r="F9" s="5">
        <f>6616.65</f>
        <v>6616.65</v>
      </c>
      <c r="G9" s="5">
        <f>3616.2</f>
        <v>3616.2</v>
      </c>
      <c r="H9" s="5">
        <f>2165.32</f>
        <v>2165.3200000000002</v>
      </c>
      <c r="I9" s="5">
        <f>9813.32</f>
        <v>9813.32</v>
      </c>
      <c r="J9" s="5">
        <f>15794.16</f>
        <v>15794.16</v>
      </c>
      <c r="K9" s="5">
        <f>23790.23</f>
        <v>23790.23</v>
      </c>
      <c r="L9" s="5">
        <f>6800.9</f>
        <v>6800.9</v>
      </c>
      <c r="M9" s="5">
        <f>13953.16</f>
        <v>13953.16</v>
      </c>
      <c r="N9" s="5">
        <f t="shared" si="0"/>
        <v>99697.95</v>
      </c>
    </row>
    <row r="10" spans="1:14" x14ac:dyDescent="0.55000000000000004">
      <c r="A10" s="3" t="s">
        <v>17</v>
      </c>
      <c r="B10" s="4"/>
      <c r="C10" s="4"/>
      <c r="D10" s="4"/>
      <c r="E10" s="4"/>
      <c r="F10" s="5">
        <f>130</f>
        <v>130</v>
      </c>
      <c r="G10" s="5">
        <f>1175</f>
        <v>1175</v>
      </c>
      <c r="H10" s="4"/>
      <c r="I10" s="5">
        <f>295</f>
        <v>295</v>
      </c>
      <c r="J10" s="5">
        <f>5415</f>
        <v>5415</v>
      </c>
      <c r="K10" s="5">
        <f>305</f>
        <v>305</v>
      </c>
      <c r="L10" s="5">
        <f>265</f>
        <v>265</v>
      </c>
      <c r="M10" s="5">
        <f>255</f>
        <v>255</v>
      </c>
      <c r="N10" s="5">
        <f t="shared" si="0"/>
        <v>7840</v>
      </c>
    </row>
    <row r="11" spans="1:14" x14ac:dyDescent="0.55000000000000004">
      <c r="A11" s="3" t="s">
        <v>18</v>
      </c>
      <c r="B11" s="6">
        <f t="shared" ref="B11:M11" si="1">(((B7)+(B8))+(B9))+(B10)</f>
        <v>9507.5300000000007</v>
      </c>
      <c r="C11" s="6">
        <f t="shared" si="1"/>
        <v>8772.15</v>
      </c>
      <c r="D11" s="6">
        <f t="shared" si="1"/>
        <v>14428.42</v>
      </c>
      <c r="E11" s="6">
        <f t="shared" si="1"/>
        <v>12179.580000000002</v>
      </c>
      <c r="F11" s="6">
        <f t="shared" si="1"/>
        <v>27000.9</v>
      </c>
      <c r="G11" s="6">
        <f t="shared" si="1"/>
        <v>8627.2000000000007</v>
      </c>
      <c r="H11" s="6">
        <f t="shared" si="1"/>
        <v>8806.32</v>
      </c>
      <c r="I11" s="6">
        <f t="shared" si="1"/>
        <v>15388.32</v>
      </c>
      <c r="J11" s="6">
        <f t="shared" si="1"/>
        <v>57679.16</v>
      </c>
      <c r="K11" s="6">
        <f t="shared" si="1"/>
        <v>33555.229999999996</v>
      </c>
      <c r="L11" s="6">
        <f t="shared" si="1"/>
        <v>17101.900000000001</v>
      </c>
      <c r="M11" s="6">
        <f t="shared" si="1"/>
        <v>64446.16</v>
      </c>
      <c r="N11" s="6">
        <f t="shared" si="0"/>
        <v>277492.87</v>
      </c>
    </row>
    <row r="12" spans="1:14" x14ac:dyDescent="0.55000000000000004">
      <c r="A12" s="3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0"/>
        <v>0</v>
      </c>
    </row>
    <row r="13" spans="1:14" x14ac:dyDescent="0.55000000000000004">
      <c r="A13" s="3" t="s">
        <v>20</v>
      </c>
      <c r="B13" s="4"/>
      <c r="C13" s="4"/>
      <c r="D13" s="4"/>
      <c r="E13" s="4"/>
      <c r="F13" s="4"/>
      <c r="G13" s="4"/>
      <c r="H13" s="4"/>
      <c r="I13" s="4"/>
      <c r="J13" s="5">
        <f>2000</f>
        <v>2000</v>
      </c>
      <c r="K13" s="4"/>
      <c r="L13" s="5">
        <f>1000</f>
        <v>1000</v>
      </c>
      <c r="M13" s="5">
        <f>25000</f>
        <v>25000</v>
      </c>
      <c r="N13" s="5">
        <f t="shared" si="0"/>
        <v>28000</v>
      </c>
    </row>
    <row r="14" spans="1:14" x14ac:dyDescent="0.55000000000000004">
      <c r="A14" s="3" t="s">
        <v>21</v>
      </c>
      <c r="B14" s="5">
        <f>14261.84</f>
        <v>14261.84</v>
      </c>
      <c r="C14" s="5">
        <f>18112.08</f>
        <v>18112.080000000002</v>
      </c>
      <c r="D14" s="5">
        <f>20821.21</f>
        <v>20821.21</v>
      </c>
      <c r="E14" s="5">
        <f>17608.9</f>
        <v>17608.900000000001</v>
      </c>
      <c r="F14" s="5">
        <f>12273.33</f>
        <v>12273.33</v>
      </c>
      <c r="G14" s="4"/>
      <c r="H14" s="5">
        <f>44291.66</f>
        <v>44291.66</v>
      </c>
      <c r="I14" s="4"/>
      <c r="J14" s="5">
        <f>36901.35</f>
        <v>36901.35</v>
      </c>
      <c r="K14" s="5">
        <f>29032.78</f>
        <v>29032.78</v>
      </c>
      <c r="L14" s="5">
        <f>18664.92</f>
        <v>18664.919999999998</v>
      </c>
      <c r="M14" s="5">
        <f>17910.95</f>
        <v>17910.95</v>
      </c>
      <c r="N14" s="5">
        <f t="shared" si="0"/>
        <v>229879.02000000002</v>
      </c>
    </row>
    <row r="15" spans="1:14" x14ac:dyDescent="0.55000000000000004">
      <c r="A15" s="3" t="s">
        <v>22</v>
      </c>
      <c r="B15" s="6">
        <f t="shared" ref="B15:M15" si="2">((B12)+(B13))+(B14)</f>
        <v>14261.84</v>
      </c>
      <c r="C15" s="6">
        <f t="shared" si="2"/>
        <v>18112.080000000002</v>
      </c>
      <c r="D15" s="6">
        <f t="shared" si="2"/>
        <v>20821.21</v>
      </c>
      <c r="E15" s="6">
        <f t="shared" si="2"/>
        <v>17608.900000000001</v>
      </c>
      <c r="F15" s="6">
        <f t="shared" si="2"/>
        <v>12273.33</v>
      </c>
      <c r="G15" s="6">
        <f t="shared" si="2"/>
        <v>0</v>
      </c>
      <c r="H15" s="6">
        <f t="shared" si="2"/>
        <v>44291.66</v>
      </c>
      <c r="I15" s="6">
        <f t="shared" si="2"/>
        <v>0</v>
      </c>
      <c r="J15" s="6">
        <f t="shared" si="2"/>
        <v>38901.35</v>
      </c>
      <c r="K15" s="6">
        <f t="shared" si="2"/>
        <v>29032.78</v>
      </c>
      <c r="L15" s="6">
        <f t="shared" si="2"/>
        <v>19664.919999999998</v>
      </c>
      <c r="M15" s="6">
        <f t="shared" si="2"/>
        <v>42910.95</v>
      </c>
      <c r="N15" s="6">
        <f t="shared" si="0"/>
        <v>257879.02000000002</v>
      </c>
    </row>
    <row r="16" spans="1:14" x14ac:dyDescent="0.55000000000000004">
      <c r="A16" s="3" t="s">
        <v>23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>
        <f t="shared" si="0"/>
        <v>0</v>
      </c>
    </row>
    <row r="17" spans="1:14" x14ac:dyDescent="0.55000000000000004">
      <c r="A17" s="3" t="s">
        <v>24</v>
      </c>
      <c r="B17" s="4"/>
      <c r="C17" s="4"/>
      <c r="D17" s="4"/>
      <c r="E17" s="4"/>
      <c r="F17" s="4"/>
      <c r="G17" s="5">
        <f>125</f>
        <v>125</v>
      </c>
      <c r="H17" s="4"/>
      <c r="I17" s="5">
        <f>250</f>
        <v>250</v>
      </c>
      <c r="J17" s="5">
        <f>7425</f>
        <v>7425</v>
      </c>
      <c r="K17" s="4"/>
      <c r="L17" s="4"/>
      <c r="M17" s="4"/>
      <c r="N17" s="5">
        <f t="shared" si="0"/>
        <v>7800</v>
      </c>
    </row>
    <row r="18" spans="1:14" x14ac:dyDescent="0.55000000000000004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5">
        <f>5567.59</f>
        <v>5567.59</v>
      </c>
      <c r="K18" s="4"/>
      <c r="L18" s="4"/>
      <c r="M18" s="4"/>
      <c r="N18" s="5">
        <f t="shared" si="0"/>
        <v>5567.59</v>
      </c>
    </row>
    <row r="19" spans="1:14" x14ac:dyDescent="0.55000000000000004">
      <c r="A19" s="3" t="s">
        <v>26</v>
      </c>
      <c r="B19" s="4"/>
      <c r="C19" s="4"/>
      <c r="D19" s="4"/>
      <c r="E19" s="4"/>
      <c r="F19" s="5">
        <f>600</f>
        <v>600</v>
      </c>
      <c r="G19" s="5">
        <f>1500</f>
        <v>1500</v>
      </c>
      <c r="H19" s="5">
        <f>750</f>
        <v>750</v>
      </c>
      <c r="I19" s="5">
        <f>750</f>
        <v>750</v>
      </c>
      <c r="J19" s="4"/>
      <c r="K19" s="4"/>
      <c r="L19" s="4"/>
      <c r="M19" s="4"/>
      <c r="N19" s="5">
        <f t="shared" si="0"/>
        <v>3600</v>
      </c>
    </row>
    <row r="20" spans="1:14" x14ac:dyDescent="0.55000000000000004">
      <c r="A20" s="3" t="s">
        <v>27</v>
      </c>
      <c r="B20" s="4"/>
      <c r="C20" s="4"/>
      <c r="D20" s="4"/>
      <c r="E20" s="5">
        <f>2500</f>
        <v>2500</v>
      </c>
      <c r="F20" s="4"/>
      <c r="G20" s="5">
        <f>6000</f>
        <v>6000</v>
      </c>
      <c r="H20" s="5">
        <f>2000</f>
        <v>2000</v>
      </c>
      <c r="I20" s="5">
        <f>10000</f>
        <v>10000</v>
      </c>
      <c r="J20" s="4"/>
      <c r="K20" s="4"/>
      <c r="L20" s="4"/>
      <c r="M20" s="4"/>
      <c r="N20" s="5">
        <f t="shared" si="0"/>
        <v>20500</v>
      </c>
    </row>
    <row r="21" spans="1:14" x14ac:dyDescent="0.55000000000000004">
      <c r="A21" s="3" t="s">
        <v>28</v>
      </c>
      <c r="B21" s="6">
        <f t="shared" ref="B21:M21" si="3">((((B16)+(B17))+(B18))+(B19))+(B20)</f>
        <v>0</v>
      </c>
      <c r="C21" s="6">
        <f t="shared" si="3"/>
        <v>0</v>
      </c>
      <c r="D21" s="6">
        <f t="shared" si="3"/>
        <v>0</v>
      </c>
      <c r="E21" s="6">
        <f t="shared" si="3"/>
        <v>2500</v>
      </c>
      <c r="F21" s="6">
        <f t="shared" si="3"/>
        <v>600</v>
      </c>
      <c r="G21" s="6">
        <f t="shared" si="3"/>
        <v>7625</v>
      </c>
      <c r="H21" s="6">
        <f t="shared" si="3"/>
        <v>2750</v>
      </c>
      <c r="I21" s="6">
        <f t="shared" si="3"/>
        <v>11000</v>
      </c>
      <c r="J21" s="6">
        <f t="shared" si="3"/>
        <v>12992.59</v>
      </c>
      <c r="K21" s="6">
        <f t="shared" si="3"/>
        <v>0</v>
      </c>
      <c r="L21" s="6">
        <f t="shared" si="3"/>
        <v>0</v>
      </c>
      <c r="M21" s="6">
        <f t="shared" si="3"/>
        <v>0</v>
      </c>
      <c r="N21" s="6">
        <f t="shared" si="0"/>
        <v>37467.589999999997</v>
      </c>
    </row>
    <row r="22" spans="1:14" x14ac:dyDescent="0.55000000000000004">
      <c r="A22" s="3" t="s">
        <v>29</v>
      </c>
      <c r="B22" s="4"/>
      <c r="C22" s="4"/>
      <c r="D22" s="4"/>
      <c r="E22" s="4"/>
      <c r="F22" s="4"/>
      <c r="G22" s="5">
        <f>28715.56</f>
        <v>28715.56</v>
      </c>
      <c r="H22" s="4"/>
      <c r="I22" s="4"/>
      <c r="J22" s="4"/>
      <c r="K22" s="4"/>
      <c r="L22" s="4"/>
      <c r="M22" s="4"/>
      <c r="N22" s="5">
        <f t="shared" si="0"/>
        <v>28715.56</v>
      </c>
    </row>
    <row r="23" spans="1:14" x14ac:dyDescent="0.55000000000000004">
      <c r="A23" s="3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0"/>
        <v>0</v>
      </c>
    </row>
    <row r="24" spans="1:14" x14ac:dyDescent="0.55000000000000004">
      <c r="A24" s="3" t="s">
        <v>31</v>
      </c>
      <c r="B24" s="4"/>
      <c r="C24" s="4"/>
      <c r="D24" s="4"/>
      <c r="E24" s="5">
        <f>15.54</f>
        <v>15.54</v>
      </c>
      <c r="F24" s="5">
        <f>102.97</f>
        <v>102.97</v>
      </c>
      <c r="G24" s="5">
        <f>94.34</f>
        <v>94.34</v>
      </c>
      <c r="H24" s="5">
        <f>121.68</f>
        <v>121.68</v>
      </c>
      <c r="I24" s="5">
        <f>29.18</f>
        <v>29.18</v>
      </c>
      <c r="J24" s="5">
        <f>3588.87</f>
        <v>3588.87</v>
      </c>
      <c r="K24" s="5">
        <f>306.73</f>
        <v>306.73</v>
      </c>
      <c r="L24" s="5">
        <f>139.18</f>
        <v>139.18</v>
      </c>
      <c r="M24" s="5">
        <f>337.49</f>
        <v>337.49</v>
      </c>
      <c r="N24" s="5">
        <f t="shared" si="0"/>
        <v>4735.9799999999996</v>
      </c>
    </row>
    <row r="25" spans="1:14" x14ac:dyDescent="0.55000000000000004">
      <c r="A25" s="3" t="s">
        <v>32</v>
      </c>
      <c r="B25" s="6">
        <f t="shared" ref="B25:M25" si="4">(B23)+(B24)</f>
        <v>0</v>
      </c>
      <c r="C25" s="6">
        <f t="shared" si="4"/>
        <v>0</v>
      </c>
      <c r="D25" s="6">
        <f t="shared" si="4"/>
        <v>0</v>
      </c>
      <c r="E25" s="6">
        <f t="shared" si="4"/>
        <v>15.54</v>
      </c>
      <c r="F25" s="6">
        <f t="shared" si="4"/>
        <v>102.97</v>
      </c>
      <c r="G25" s="6">
        <f t="shared" si="4"/>
        <v>94.34</v>
      </c>
      <c r="H25" s="6">
        <f t="shared" si="4"/>
        <v>121.68</v>
      </c>
      <c r="I25" s="6">
        <f t="shared" si="4"/>
        <v>29.18</v>
      </c>
      <c r="J25" s="6">
        <f t="shared" si="4"/>
        <v>3588.87</v>
      </c>
      <c r="K25" s="6">
        <f t="shared" si="4"/>
        <v>306.73</v>
      </c>
      <c r="L25" s="6">
        <f t="shared" si="4"/>
        <v>139.18</v>
      </c>
      <c r="M25" s="6">
        <f t="shared" si="4"/>
        <v>337.49</v>
      </c>
      <c r="N25" s="6">
        <f t="shared" si="0"/>
        <v>4735.9799999999996</v>
      </c>
    </row>
    <row r="26" spans="1:14" x14ac:dyDescent="0.55000000000000004">
      <c r="A26" s="3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0"/>
        <v>0</v>
      </c>
    </row>
    <row r="27" spans="1:14" x14ac:dyDescent="0.55000000000000004">
      <c r="A27" s="3" t="s">
        <v>34</v>
      </c>
      <c r="B27" s="4"/>
      <c r="C27" s="5">
        <f>31.98</f>
        <v>31.98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5">
        <f t="shared" si="0"/>
        <v>31.98</v>
      </c>
    </row>
    <row r="28" spans="1:14" x14ac:dyDescent="0.55000000000000004">
      <c r="A28" s="3" t="s">
        <v>35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>
        <f t="shared" si="0"/>
        <v>0</v>
      </c>
    </row>
    <row r="29" spans="1:14" x14ac:dyDescent="0.55000000000000004">
      <c r="A29" s="3" t="s">
        <v>36</v>
      </c>
      <c r="B29" s="5">
        <f>20</f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>
        <f t="shared" si="0"/>
        <v>20</v>
      </c>
    </row>
    <row r="30" spans="1:14" x14ac:dyDescent="0.55000000000000004">
      <c r="A30" s="3" t="s">
        <v>37</v>
      </c>
      <c r="B30" s="5">
        <f>15.99</f>
        <v>15.99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>
        <f t="shared" si="0"/>
        <v>15.99</v>
      </c>
    </row>
    <row r="31" spans="1:14" x14ac:dyDescent="0.55000000000000004">
      <c r="A31" s="3" t="s">
        <v>38</v>
      </c>
      <c r="B31" s="5">
        <f>43.99</f>
        <v>43.99</v>
      </c>
      <c r="C31" s="4"/>
      <c r="D31" s="4"/>
      <c r="E31" s="5">
        <f>334.72</f>
        <v>334.72</v>
      </c>
      <c r="F31" s="4"/>
      <c r="G31" s="4"/>
      <c r="H31" s="4"/>
      <c r="I31" s="4"/>
      <c r="J31" s="4"/>
      <c r="K31" s="4"/>
      <c r="L31" s="4"/>
      <c r="M31" s="4"/>
      <c r="N31" s="5">
        <f t="shared" si="0"/>
        <v>378.71000000000004</v>
      </c>
    </row>
    <row r="32" spans="1:14" x14ac:dyDescent="0.55000000000000004">
      <c r="A32" s="3" t="s">
        <v>39</v>
      </c>
      <c r="B32" s="6">
        <f t="shared" ref="B32:M32" si="5">(((B28)+(B29))+(B30))+(B31)</f>
        <v>79.98</v>
      </c>
      <c r="C32" s="6">
        <f t="shared" si="5"/>
        <v>0</v>
      </c>
      <c r="D32" s="6">
        <f t="shared" si="5"/>
        <v>0</v>
      </c>
      <c r="E32" s="6">
        <f t="shared" si="5"/>
        <v>334.72</v>
      </c>
      <c r="F32" s="6">
        <f t="shared" si="5"/>
        <v>0</v>
      </c>
      <c r="G32" s="6">
        <f t="shared" si="5"/>
        <v>0</v>
      </c>
      <c r="H32" s="6">
        <f t="shared" si="5"/>
        <v>0</v>
      </c>
      <c r="I32" s="6">
        <f t="shared" si="5"/>
        <v>0</v>
      </c>
      <c r="J32" s="6">
        <f t="shared" si="5"/>
        <v>0</v>
      </c>
      <c r="K32" s="6">
        <f t="shared" si="5"/>
        <v>0</v>
      </c>
      <c r="L32" s="6">
        <f t="shared" si="5"/>
        <v>0</v>
      </c>
      <c r="M32" s="6">
        <f t="shared" si="5"/>
        <v>0</v>
      </c>
      <c r="N32" s="6">
        <f t="shared" si="0"/>
        <v>414.70000000000005</v>
      </c>
    </row>
    <row r="33" spans="1:14" x14ac:dyDescent="0.55000000000000004">
      <c r="A33" s="3" t="s">
        <v>40</v>
      </c>
      <c r="B33" s="6">
        <f t="shared" ref="B33:M33" si="6">((B26)+(B27))+(B32)</f>
        <v>79.98</v>
      </c>
      <c r="C33" s="6">
        <f t="shared" si="6"/>
        <v>31.98</v>
      </c>
      <c r="D33" s="6">
        <f t="shared" si="6"/>
        <v>0</v>
      </c>
      <c r="E33" s="6">
        <f t="shared" si="6"/>
        <v>334.72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 t="shared" si="6"/>
        <v>0</v>
      </c>
      <c r="K33" s="6">
        <f t="shared" si="6"/>
        <v>0</v>
      </c>
      <c r="L33" s="6">
        <f t="shared" si="6"/>
        <v>0</v>
      </c>
      <c r="M33" s="6">
        <f t="shared" si="6"/>
        <v>0</v>
      </c>
      <c r="N33" s="6">
        <f t="shared" si="0"/>
        <v>446.68000000000006</v>
      </c>
    </row>
    <row r="34" spans="1:14" x14ac:dyDescent="0.55000000000000004">
      <c r="A34" s="3" t="s">
        <v>41</v>
      </c>
      <c r="B34" s="4"/>
      <c r="C34" s="4"/>
      <c r="D34" s="4"/>
      <c r="E34" s="4"/>
      <c r="F34" s="4"/>
      <c r="G34" s="5">
        <f>0</f>
        <v>0</v>
      </c>
      <c r="H34" s="4"/>
      <c r="I34" s="4"/>
      <c r="J34" s="4"/>
      <c r="K34" s="4"/>
      <c r="L34" s="4"/>
      <c r="M34" s="4"/>
      <c r="N34" s="5">
        <f t="shared" si="0"/>
        <v>0</v>
      </c>
    </row>
    <row r="35" spans="1:14" x14ac:dyDescent="0.55000000000000004">
      <c r="A35" s="3" t="s">
        <v>42</v>
      </c>
      <c r="B35" s="4"/>
      <c r="C35" s="4"/>
      <c r="D35" s="4"/>
      <c r="E35" s="4"/>
      <c r="F35" s="4"/>
      <c r="G35" s="4"/>
      <c r="H35" s="4"/>
      <c r="I35" s="4"/>
      <c r="J35" s="5">
        <f>41565</f>
        <v>41565</v>
      </c>
      <c r="K35" s="4"/>
      <c r="L35" s="4"/>
      <c r="M35" s="4"/>
      <c r="N35" s="5">
        <f t="shared" si="0"/>
        <v>41565</v>
      </c>
    </row>
    <row r="36" spans="1:14" x14ac:dyDescent="0.55000000000000004">
      <c r="A36" s="3" t="s">
        <v>43</v>
      </c>
      <c r="B36" s="5">
        <f>9.46</f>
        <v>9.4600000000000009</v>
      </c>
      <c r="C36" s="5">
        <f>10.51</f>
        <v>10.51</v>
      </c>
      <c r="D36" s="5">
        <f>9.88</f>
        <v>9.8800000000000008</v>
      </c>
      <c r="E36" s="5">
        <f>11.33</f>
        <v>11.33</v>
      </c>
      <c r="F36" s="5">
        <f>10.24</f>
        <v>10.24</v>
      </c>
      <c r="G36" s="5">
        <f>8.88</f>
        <v>8.8800000000000008</v>
      </c>
      <c r="H36" s="5">
        <f>7.91</f>
        <v>7.91</v>
      </c>
      <c r="I36" s="5">
        <f>9.13</f>
        <v>9.1300000000000008</v>
      </c>
      <c r="J36" s="5">
        <f>9.88</f>
        <v>9.8800000000000008</v>
      </c>
      <c r="K36" s="5">
        <f>9.33</f>
        <v>9.33</v>
      </c>
      <c r="L36" s="5">
        <f>10.39</f>
        <v>10.39</v>
      </c>
      <c r="M36" s="5">
        <f>10.8</f>
        <v>10.8</v>
      </c>
      <c r="N36" s="5">
        <f t="shared" si="0"/>
        <v>117.74</v>
      </c>
    </row>
    <row r="37" spans="1:14" x14ac:dyDescent="0.55000000000000004">
      <c r="A37" s="3" t="s">
        <v>44</v>
      </c>
      <c r="B37" s="6">
        <f t="shared" ref="B37:M37" si="7">((B34)+(B35))+(B36)</f>
        <v>9.4600000000000009</v>
      </c>
      <c r="C37" s="6">
        <f t="shared" si="7"/>
        <v>10.51</v>
      </c>
      <c r="D37" s="6">
        <f t="shared" si="7"/>
        <v>9.8800000000000008</v>
      </c>
      <c r="E37" s="6">
        <f t="shared" si="7"/>
        <v>11.33</v>
      </c>
      <c r="F37" s="6">
        <f t="shared" si="7"/>
        <v>10.24</v>
      </c>
      <c r="G37" s="6">
        <f t="shared" si="7"/>
        <v>8.8800000000000008</v>
      </c>
      <c r="H37" s="6">
        <f t="shared" si="7"/>
        <v>7.91</v>
      </c>
      <c r="I37" s="6">
        <f t="shared" si="7"/>
        <v>9.1300000000000008</v>
      </c>
      <c r="J37" s="6">
        <f t="shared" si="7"/>
        <v>41574.879999999997</v>
      </c>
      <c r="K37" s="6">
        <f t="shared" si="7"/>
        <v>9.33</v>
      </c>
      <c r="L37" s="6">
        <f t="shared" si="7"/>
        <v>10.39</v>
      </c>
      <c r="M37" s="6">
        <f t="shared" si="7"/>
        <v>10.8</v>
      </c>
      <c r="N37" s="6">
        <f t="shared" si="0"/>
        <v>41682.74</v>
      </c>
    </row>
    <row r="38" spans="1:14" x14ac:dyDescent="0.55000000000000004">
      <c r="A38" s="3" t="s">
        <v>45</v>
      </c>
      <c r="B38" s="6">
        <f t="shared" ref="B38:M38" si="8">((((((B11)+(B15))+(B21))+(B22))+(B25))+(B33))+(B37)</f>
        <v>23858.81</v>
      </c>
      <c r="C38" s="6">
        <f t="shared" si="8"/>
        <v>26926.720000000001</v>
      </c>
      <c r="D38" s="6">
        <f t="shared" si="8"/>
        <v>35259.509999999995</v>
      </c>
      <c r="E38" s="6">
        <f t="shared" si="8"/>
        <v>32650.070000000007</v>
      </c>
      <c r="F38" s="6">
        <f t="shared" si="8"/>
        <v>39987.440000000002</v>
      </c>
      <c r="G38" s="6">
        <f t="shared" si="8"/>
        <v>45070.979999999996</v>
      </c>
      <c r="H38" s="6">
        <f t="shared" si="8"/>
        <v>55977.570000000007</v>
      </c>
      <c r="I38" s="6">
        <f t="shared" si="8"/>
        <v>26426.63</v>
      </c>
      <c r="J38" s="6">
        <f t="shared" si="8"/>
        <v>154736.85</v>
      </c>
      <c r="K38" s="6">
        <f t="shared" si="8"/>
        <v>62904.07</v>
      </c>
      <c r="L38" s="6">
        <f t="shared" si="8"/>
        <v>36916.39</v>
      </c>
      <c r="M38" s="6">
        <f t="shared" si="8"/>
        <v>107705.40000000001</v>
      </c>
      <c r="N38" s="6">
        <f t="shared" si="0"/>
        <v>648420.43999999994</v>
      </c>
    </row>
    <row r="39" spans="1:14" x14ac:dyDescent="0.55000000000000004">
      <c r="A39" s="3" t="s">
        <v>46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55000000000000004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>(((((((((((B40)+(C40))+(D40))+(E40))+(F40))+(G40))+(H40))+(I40))+(J40))+(K40))+(L40))+(M40)</f>
        <v>0</v>
      </c>
    </row>
    <row r="41" spans="1:14" x14ac:dyDescent="0.55000000000000004">
      <c r="A41" s="3" t="s">
        <v>48</v>
      </c>
      <c r="B41" s="4"/>
      <c r="C41" s="4"/>
      <c r="D41" s="4"/>
      <c r="E41" s="4"/>
      <c r="F41" s="4"/>
      <c r="G41" s="4"/>
      <c r="H41" s="4"/>
      <c r="I41" s="4"/>
      <c r="J41" s="5">
        <f>35.75</f>
        <v>35.75</v>
      </c>
      <c r="K41" s="4"/>
      <c r="L41" s="4"/>
      <c r="M41" s="4"/>
      <c r="N41" s="5">
        <f>(((((((((((B41)+(C41))+(D41))+(E41))+(F41))+(G41))+(H41))+(I41))+(J41))+(K41))+(L41))+(M41)</f>
        <v>35.75</v>
      </c>
    </row>
    <row r="42" spans="1:14" x14ac:dyDescent="0.55000000000000004">
      <c r="A42" s="3" t="s">
        <v>49</v>
      </c>
      <c r="B42" s="6">
        <f t="shared" ref="B42:M42" si="9">(B40)+(B41)</f>
        <v>0</v>
      </c>
      <c r="C42" s="6">
        <f t="shared" si="9"/>
        <v>0</v>
      </c>
      <c r="D42" s="6">
        <f t="shared" si="9"/>
        <v>0</v>
      </c>
      <c r="E42" s="6">
        <f t="shared" si="9"/>
        <v>0</v>
      </c>
      <c r="F42" s="6">
        <f t="shared" si="9"/>
        <v>0</v>
      </c>
      <c r="G42" s="6">
        <f t="shared" si="9"/>
        <v>0</v>
      </c>
      <c r="H42" s="6">
        <f t="shared" si="9"/>
        <v>0</v>
      </c>
      <c r="I42" s="6">
        <f t="shared" si="9"/>
        <v>0</v>
      </c>
      <c r="J42" s="6">
        <f t="shared" si="9"/>
        <v>35.75</v>
      </c>
      <c r="K42" s="6">
        <f t="shared" si="9"/>
        <v>0</v>
      </c>
      <c r="L42" s="6">
        <f t="shared" si="9"/>
        <v>0</v>
      </c>
      <c r="M42" s="6">
        <f t="shared" si="9"/>
        <v>0</v>
      </c>
      <c r="N42" s="6">
        <f>(((((((((((B42)+(C42))+(D42))+(E42))+(F42))+(G42))+(H42))+(I42))+(J42))+(K42))+(L42))+(M42)</f>
        <v>35.75</v>
      </c>
    </row>
    <row r="43" spans="1:14" x14ac:dyDescent="0.55000000000000004">
      <c r="A43" s="3" t="s">
        <v>50</v>
      </c>
      <c r="B43" s="6">
        <f t="shared" ref="B43:M43" si="10">B42</f>
        <v>0</v>
      </c>
      <c r="C43" s="6">
        <f t="shared" si="10"/>
        <v>0</v>
      </c>
      <c r="D43" s="6">
        <f t="shared" si="10"/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10"/>
        <v>0</v>
      </c>
      <c r="I43" s="6">
        <f t="shared" si="10"/>
        <v>0</v>
      </c>
      <c r="J43" s="6">
        <f t="shared" si="10"/>
        <v>35.75</v>
      </c>
      <c r="K43" s="6">
        <f t="shared" si="10"/>
        <v>0</v>
      </c>
      <c r="L43" s="6">
        <f t="shared" si="10"/>
        <v>0</v>
      </c>
      <c r="M43" s="6">
        <f t="shared" si="10"/>
        <v>0</v>
      </c>
      <c r="N43" s="6">
        <f>(((((((((((B43)+(C43))+(D43))+(E43))+(F43))+(G43))+(H43))+(I43))+(J43))+(K43))+(L43))+(M43)</f>
        <v>35.75</v>
      </c>
    </row>
    <row r="44" spans="1:14" x14ac:dyDescent="0.55000000000000004">
      <c r="A44" s="3" t="s">
        <v>51</v>
      </c>
      <c r="B44" s="6">
        <f t="shared" ref="B44:M44" si="11">(B38)-(B43)</f>
        <v>23858.81</v>
      </c>
      <c r="C44" s="6">
        <f t="shared" si="11"/>
        <v>26926.720000000001</v>
      </c>
      <c r="D44" s="6">
        <f t="shared" si="11"/>
        <v>35259.509999999995</v>
      </c>
      <c r="E44" s="6">
        <f t="shared" si="11"/>
        <v>32650.070000000007</v>
      </c>
      <c r="F44" s="6">
        <f t="shared" si="11"/>
        <v>39987.440000000002</v>
      </c>
      <c r="G44" s="6">
        <f t="shared" si="11"/>
        <v>45070.979999999996</v>
      </c>
      <c r="H44" s="6">
        <f t="shared" si="11"/>
        <v>55977.570000000007</v>
      </c>
      <c r="I44" s="6">
        <f t="shared" si="11"/>
        <v>26426.63</v>
      </c>
      <c r="J44" s="6">
        <f t="shared" si="11"/>
        <v>154701.1</v>
      </c>
      <c r="K44" s="6">
        <f t="shared" si="11"/>
        <v>62904.07</v>
      </c>
      <c r="L44" s="6">
        <f t="shared" si="11"/>
        <v>36916.39</v>
      </c>
      <c r="M44" s="6">
        <f t="shared" si="11"/>
        <v>107705.40000000001</v>
      </c>
      <c r="N44" s="6">
        <f>(((((((((((B44)+(C44))+(D44))+(E44))+(F44))+(G44))+(H44))+(I44))+(J44))+(K44))+(L44))+(M44)</f>
        <v>648384.68999999994</v>
      </c>
    </row>
    <row r="45" spans="1:14" x14ac:dyDescent="0.55000000000000004">
      <c r="A45" s="3" t="s">
        <v>52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55000000000000004">
      <c r="A46" s="3" t="s">
        <v>53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5">
        <f>142.31</f>
        <v>142.31</v>
      </c>
      <c r="M46" s="5">
        <f>442.54</f>
        <v>442.54</v>
      </c>
      <c r="N46" s="5">
        <f t="shared" ref="N46:N77" si="12">(((((((((((B46)+(C46))+(D46))+(E46))+(F46))+(G46))+(H46))+(I46))+(J46))+(K46))+(L46))+(M46)</f>
        <v>584.85</v>
      </c>
    </row>
    <row r="47" spans="1:14" x14ac:dyDescent="0.55000000000000004">
      <c r="A47" s="3" t="s">
        <v>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5">
        <f>35.98</f>
        <v>35.979999999999997</v>
      </c>
      <c r="M47" s="5">
        <f>269.69</f>
        <v>269.69</v>
      </c>
      <c r="N47" s="5">
        <f t="shared" si="12"/>
        <v>305.67</v>
      </c>
    </row>
    <row r="48" spans="1:14" x14ac:dyDescent="0.55000000000000004">
      <c r="A48" s="3" t="s">
        <v>55</v>
      </c>
      <c r="B48" s="4"/>
      <c r="C48" s="4"/>
      <c r="D48" s="4"/>
      <c r="E48" s="4"/>
      <c r="F48" s="4"/>
      <c r="G48" s="4"/>
      <c r="H48" s="4"/>
      <c r="I48" s="4"/>
      <c r="J48" s="4"/>
      <c r="K48" s="5">
        <f>1582.28</f>
        <v>1582.28</v>
      </c>
      <c r="L48" s="5">
        <f>45.19</f>
        <v>45.19</v>
      </c>
      <c r="M48" s="4"/>
      <c r="N48" s="5">
        <f t="shared" si="12"/>
        <v>1627.47</v>
      </c>
    </row>
    <row r="49" spans="1:14" x14ac:dyDescent="0.55000000000000004">
      <c r="A49" s="3" t="s">
        <v>56</v>
      </c>
      <c r="B49" s="6">
        <f t="shared" ref="B49:M49" si="13">((B46)+(B47))+(B48)</f>
        <v>0</v>
      </c>
      <c r="C49" s="6">
        <f t="shared" si="13"/>
        <v>0</v>
      </c>
      <c r="D49" s="6">
        <f t="shared" si="13"/>
        <v>0</v>
      </c>
      <c r="E49" s="6">
        <f t="shared" si="13"/>
        <v>0</v>
      </c>
      <c r="F49" s="6">
        <f t="shared" si="13"/>
        <v>0</v>
      </c>
      <c r="G49" s="6">
        <f t="shared" si="13"/>
        <v>0</v>
      </c>
      <c r="H49" s="6">
        <f t="shared" si="13"/>
        <v>0</v>
      </c>
      <c r="I49" s="6">
        <f t="shared" si="13"/>
        <v>0</v>
      </c>
      <c r="J49" s="6">
        <f t="shared" si="13"/>
        <v>0</v>
      </c>
      <c r="K49" s="6">
        <f t="shared" si="13"/>
        <v>1582.28</v>
      </c>
      <c r="L49" s="6">
        <f t="shared" si="13"/>
        <v>223.48</v>
      </c>
      <c r="M49" s="6">
        <f t="shared" si="13"/>
        <v>712.23</v>
      </c>
      <c r="N49" s="6">
        <f t="shared" si="12"/>
        <v>2517.9899999999998</v>
      </c>
    </row>
    <row r="50" spans="1:14" x14ac:dyDescent="0.55000000000000004">
      <c r="A50" s="3" t="s">
        <v>57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 t="shared" si="12"/>
        <v>0</v>
      </c>
    </row>
    <row r="51" spans="1:14" x14ac:dyDescent="0.55000000000000004">
      <c r="A51" s="3" t="s">
        <v>58</v>
      </c>
      <c r="B51" s="5">
        <f>21436.95</f>
        <v>21436.95</v>
      </c>
      <c r="C51" s="5">
        <f>22135.88</f>
        <v>22135.88</v>
      </c>
      <c r="D51" s="5">
        <f>32507.14</f>
        <v>32507.14</v>
      </c>
      <c r="E51" s="5">
        <f>19117.38</f>
        <v>19117.38</v>
      </c>
      <c r="F51" s="5">
        <f>18152.6</f>
        <v>18152.599999999999</v>
      </c>
      <c r="G51" s="5">
        <f>20554.77</f>
        <v>20554.77</v>
      </c>
      <c r="H51" s="5">
        <f>21659.15</f>
        <v>21659.15</v>
      </c>
      <c r="I51" s="5">
        <f>22052.15</f>
        <v>22052.15</v>
      </c>
      <c r="J51" s="5">
        <f>34214.61</f>
        <v>34214.61</v>
      </c>
      <c r="K51" s="5">
        <f>23427.78</f>
        <v>23427.78</v>
      </c>
      <c r="L51" s="5">
        <f>23145.78</f>
        <v>23145.78</v>
      </c>
      <c r="M51" s="5">
        <f>24737.56</f>
        <v>24737.56</v>
      </c>
      <c r="N51" s="5">
        <f t="shared" si="12"/>
        <v>283141.75</v>
      </c>
    </row>
    <row r="52" spans="1:14" x14ac:dyDescent="0.55000000000000004">
      <c r="A52" s="3" t="s">
        <v>59</v>
      </c>
      <c r="B52" s="4"/>
      <c r="C52" s="4"/>
      <c r="D52" s="4"/>
      <c r="E52" s="4"/>
      <c r="F52" s="4"/>
      <c r="G52" s="4"/>
      <c r="H52" s="4"/>
      <c r="I52" s="4"/>
      <c r="J52" s="5">
        <f>393</f>
        <v>393</v>
      </c>
      <c r="K52" s="5">
        <f>393</f>
        <v>393</v>
      </c>
      <c r="L52" s="5">
        <f>393</f>
        <v>393</v>
      </c>
      <c r="M52" s="5">
        <f>235</f>
        <v>235</v>
      </c>
      <c r="N52" s="5">
        <f t="shared" si="12"/>
        <v>1414</v>
      </c>
    </row>
    <row r="53" spans="1:14" x14ac:dyDescent="0.55000000000000004">
      <c r="A53" s="3" t="s">
        <v>60</v>
      </c>
      <c r="B53" s="6">
        <f t="shared" ref="B53:M53" si="14">(B51)+(B52)</f>
        <v>21436.95</v>
      </c>
      <c r="C53" s="6">
        <f t="shared" si="14"/>
        <v>22135.88</v>
      </c>
      <c r="D53" s="6">
        <f t="shared" si="14"/>
        <v>32507.14</v>
      </c>
      <c r="E53" s="6">
        <f t="shared" si="14"/>
        <v>19117.38</v>
      </c>
      <c r="F53" s="6">
        <f t="shared" si="14"/>
        <v>18152.599999999999</v>
      </c>
      <c r="G53" s="6">
        <f t="shared" si="14"/>
        <v>20554.77</v>
      </c>
      <c r="H53" s="6">
        <f t="shared" si="14"/>
        <v>21659.15</v>
      </c>
      <c r="I53" s="6">
        <f t="shared" si="14"/>
        <v>22052.15</v>
      </c>
      <c r="J53" s="6">
        <f t="shared" si="14"/>
        <v>34607.61</v>
      </c>
      <c r="K53" s="6">
        <f t="shared" si="14"/>
        <v>23820.78</v>
      </c>
      <c r="L53" s="6">
        <f t="shared" si="14"/>
        <v>23538.78</v>
      </c>
      <c r="M53" s="6">
        <f t="shared" si="14"/>
        <v>24972.560000000001</v>
      </c>
      <c r="N53" s="6">
        <f t="shared" si="12"/>
        <v>284555.75</v>
      </c>
    </row>
    <row r="54" spans="1:14" x14ac:dyDescent="0.55000000000000004">
      <c r="A54" s="3" t="s">
        <v>61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>
        <f t="shared" si="12"/>
        <v>0</v>
      </c>
    </row>
    <row r="55" spans="1:14" x14ac:dyDescent="0.55000000000000004">
      <c r="A55" s="3" t="s">
        <v>62</v>
      </c>
      <c r="B55" s="5">
        <f>310.85</f>
        <v>310.85000000000002</v>
      </c>
      <c r="C55" s="5">
        <f>320.97</f>
        <v>320.97000000000003</v>
      </c>
      <c r="D55" s="5">
        <f>471.35</f>
        <v>471.35</v>
      </c>
      <c r="E55" s="5">
        <f>272.85</f>
        <v>272.85000000000002</v>
      </c>
      <c r="F55" s="5">
        <f>263.22</f>
        <v>263.22000000000003</v>
      </c>
      <c r="G55" s="5">
        <f>298.02</f>
        <v>298.02</v>
      </c>
      <c r="H55" s="5">
        <f>314.07</f>
        <v>314.07</v>
      </c>
      <c r="I55" s="5">
        <f>319.75</f>
        <v>319.75</v>
      </c>
      <c r="J55" s="5">
        <f>496.11</f>
        <v>496.11</v>
      </c>
      <c r="K55" s="5">
        <f>339.7</f>
        <v>339.7</v>
      </c>
      <c r="L55" s="5">
        <f>335.62</f>
        <v>335.62</v>
      </c>
      <c r="M55" s="5">
        <f>358.71</f>
        <v>358.71</v>
      </c>
      <c r="N55" s="5">
        <f t="shared" si="12"/>
        <v>4101.2199999999993</v>
      </c>
    </row>
    <row r="56" spans="1:14" x14ac:dyDescent="0.55000000000000004">
      <c r="A56" s="3" t="s">
        <v>63</v>
      </c>
      <c r="B56" s="5">
        <f>1329.09</f>
        <v>1329.09</v>
      </c>
      <c r="C56" s="5">
        <f>1372.44</f>
        <v>1372.44</v>
      </c>
      <c r="D56" s="5">
        <f>2015.44</f>
        <v>2015.44</v>
      </c>
      <c r="E56" s="5">
        <f>1166.66</f>
        <v>1166.6600000000001</v>
      </c>
      <c r="F56" s="5">
        <f>1125.46</f>
        <v>1125.46</v>
      </c>
      <c r="G56" s="5">
        <f>1274.4</f>
        <v>1274.4000000000001</v>
      </c>
      <c r="H56" s="5">
        <f>1342.87</f>
        <v>1342.87</v>
      </c>
      <c r="I56" s="5">
        <f>1367.22</f>
        <v>1367.22</v>
      </c>
      <c r="J56" s="5">
        <f>2121.3</f>
        <v>2121.3000000000002</v>
      </c>
      <c r="K56" s="5">
        <f>1452.54</f>
        <v>1452.54</v>
      </c>
      <c r="L56" s="5">
        <f>1435.04</f>
        <v>1435.04</v>
      </c>
      <c r="M56" s="5">
        <f>1533.73</f>
        <v>1533.73</v>
      </c>
      <c r="N56" s="5">
        <f t="shared" si="12"/>
        <v>17536.190000000002</v>
      </c>
    </row>
    <row r="57" spans="1:14" x14ac:dyDescent="0.55000000000000004">
      <c r="A57" s="3" t="s">
        <v>64</v>
      </c>
      <c r="B57" s="5">
        <f>107.19</f>
        <v>107.19</v>
      </c>
      <c r="C57" s="5">
        <f>110.67</f>
        <v>110.67</v>
      </c>
      <c r="D57" s="5">
        <f>104.48</f>
        <v>104.48</v>
      </c>
      <c r="E57" s="5">
        <f>16.78</f>
        <v>16.78</v>
      </c>
      <c r="F57" s="5">
        <f>6.93</f>
        <v>6.93</v>
      </c>
      <c r="G57" s="5">
        <f>15.28</f>
        <v>15.28</v>
      </c>
      <c r="H57" s="5">
        <f>23.29</f>
        <v>23.29</v>
      </c>
      <c r="I57" s="5">
        <f>27.18</f>
        <v>27.18</v>
      </c>
      <c r="J57" s="5">
        <f>40.26</f>
        <v>40.26</v>
      </c>
      <c r="K57" s="5">
        <f>15.69</f>
        <v>15.69</v>
      </c>
      <c r="L57" s="5">
        <f>9.47</f>
        <v>9.4700000000000006</v>
      </c>
      <c r="M57" s="5">
        <f>7.74</f>
        <v>7.74</v>
      </c>
      <c r="N57" s="5">
        <f t="shared" si="12"/>
        <v>484.96000000000004</v>
      </c>
    </row>
    <row r="58" spans="1:14" x14ac:dyDescent="0.55000000000000004">
      <c r="A58" s="3" t="s">
        <v>65</v>
      </c>
      <c r="B58" s="5">
        <f>89.35</f>
        <v>89.35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>
        <f t="shared" si="12"/>
        <v>89.35</v>
      </c>
    </row>
    <row r="59" spans="1:14" x14ac:dyDescent="0.55000000000000004">
      <c r="A59" s="3" t="s">
        <v>66</v>
      </c>
      <c r="B59" s="6">
        <f t="shared" ref="B59:M59" si="15">((((B54)+(B55))+(B56))+(B57))+(B58)</f>
        <v>1836.48</v>
      </c>
      <c r="C59" s="6">
        <f t="shared" si="15"/>
        <v>1804.0800000000002</v>
      </c>
      <c r="D59" s="6">
        <f t="shared" si="15"/>
        <v>2591.27</v>
      </c>
      <c r="E59" s="6">
        <f t="shared" si="15"/>
        <v>1456.2900000000002</v>
      </c>
      <c r="F59" s="6">
        <f t="shared" si="15"/>
        <v>1395.6100000000001</v>
      </c>
      <c r="G59" s="6">
        <f t="shared" si="15"/>
        <v>1587.7</v>
      </c>
      <c r="H59" s="6">
        <f t="shared" si="15"/>
        <v>1680.2299999999998</v>
      </c>
      <c r="I59" s="6">
        <f t="shared" si="15"/>
        <v>1714.15</v>
      </c>
      <c r="J59" s="6">
        <f t="shared" si="15"/>
        <v>2657.6700000000005</v>
      </c>
      <c r="K59" s="6">
        <f t="shared" si="15"/>
        <v>1807.93</v>
      </c>
      <c r="L59" s="6">
        <f t="shared" si="15"/>
        <v>1780.1299999999999</v>
      </c>
      <c r="M59" s="6">
        <f t="shared" si="15"/>
        <v>1900.18</v>
      </c>
      <c r="N59" s="6">
        <f t="shared" si="12"/>
        <v>22211.72</v>
      </c>
    </row>
    <row r="60" spans="1:14" x14ac:dyDescent="0.55000000000000004">
      <c r="A60" s="3" t="s">
        <v>67</v>
      </c>
      <c r="B60" s="5">
        <f>40</f>
        <v>40</v>
      </c>
      <c r="C60" s="5">
        <f>56.5</f>
        <v>56.5</v>
      </c>
      <c r="D60" s="5">
        <f>59.5</f>
        <v>59.5</v>
      </c>
      <c r="E60" s="5">
        <f>59.5</f>
        <v>59.5</v>
      </c>
      <c r="F60" s="5">
        <f>58</f>
        <v>58</v>
      </c>
      <c r="G60" s="5">
        <f>58</f>
        <v>58</v>
      </c>
      <c r="H60" s="5">
        <f>61</f>
        <v>61</v>
      </c>
      <c r="I60" s="5">
        <f>41.5</f>
        <v>41.5</v>
      </c>
      <c r="J60" s="5">
        <f>59.5</f>
        <v>59.5</v>
      </c>
      <c r="K60" s="5">
        <f>82</f>
        <v>82</v>
      </c>
      <c r="L60" s="5">
        <f>62.5</f>
        <v>62.5</v>
      </c>
      <c r="M60" s="5">
        <f>43</f>
        <v>43</v>
      </c>
      <c r="N60" s="5">
        <f t="shared" si="12"/>
        <v>681</v>
      </c>
    </row>
    <row r="61" spans="1:14" x14ac:dyDescent="0.55000000000000004">
      <c r="A61" s="3" t="s">
        <v>68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>
        <f t="shared" si="12"/>
        <v>0</v>
      </c>
    </row>
    <row r="62" spans="1:14" x14ac:dyDescent="0.55000000000000004">
      <c r="A62" s="3" t="s">
        <v>69</v>
      </c>
      <c r="B62" s="5">
        <f>473</f>
        <v>473</v>
      </c>
      <c r="C62" s="5">
        <f>275</f>
        <v>275</v>
      </c>
      <c r="D62" s="4"/>
      <c r="E62" s="5">
        <f>1149.5</f>
        <v>1149.5</v>
      </c>
      <c r="F62" s="5">
        <f>1564.75</f>
        <v>1564.75</v>
      </c>
      <c r="G62" s="5">
        <f>792</f>
        <v>792</v>
      </c>
      <c r="H62" s="5">
        <f>792</f>
        <v>792</v>
      </c>
      <c r="I62" s="5">
        <f>869</f>
        <v>869</v>
      </c>
      <c r="J62" s="4"/>
      <c r="K62" s="5">
        <f>1757.25</f>
        <v>1757.25</v>
      </c>
      <c r="L62" s="5">
        <f>176</f>
        <v>176</v>
      </c>
      <c r="M62" s="5">
        <f>352</f>
        <v>352</v>
      </c>
      <c r="N62" s="5">
        <f t="shared" si="12"/>
        <v>8200.5</v>
      </c>
    </row>
    <row r="63" spans="1:14" x14ac:dyDescent="0.55000000000000004">
      <c r="A63" s="3" t="s">
        <v>70</v>
      </c>
      <c r="B63" s="4"/>
      <c r="C63" s="4"/>
      <c r="D63" s="4"/>
      <c r="E63" s="4"/>
      <c r="F63" s="4"/>
      <c r="G63" s="4"/>
      <c r="H63" s="4"/>
      <c r="I63" s="4"/>
      <c r="J63" s="5">
        <f>50</f>
        <v>50</v>
      </c>
      <c r="K63" s="5">
        <f>130</f>
        <v>130</v>
      </c>
      <c r="L63" s="5">
        <f>150</f>
        <v>150</v>
      </c>
      <c r="M63" s="5">
        <f>150</f>
        <v>150</v>
      </c>
      <c r="N63" s="5">
        <f t="shared" si="12"/>
        <v>480</v>
      </c>
    </row>
    <row r="64" spans="1:14" x14ac:dyDescent="0.55000000000000004">
      <c r="A64" s="3" t="s">
        <v>71</v>
      </c>
      <c r="B64" s="5">
        <f>320</f>
        <v>320</v>
      </c>
      <c r="C64" s="5">
        <f>85</f>
        <v>85</v>
      </c>
      <c r="D64" s="5">
        <f>170</f>
        <v>170</v>
      </c>
      <c r="E64" s="5">
        <f>170</f>
        <v>170</v>
      </c>
      <c r="F64" s="5">
        <f>1145</f>
        <v>1145</v>
      </c>
      <c r="G64" s="5">
        <f>1310</f>
        <v>1310</v>
      </c>
      <c r="H64" s="5">
        <f>510</f>
        <v>510</v>
      </c>
      <c r="I64" s="5">
        <f>410</f>
        <v>410</v>
      </c>
      <c r="J64" s="4"/>
      <c r="K64" s="5">
        <f>560</f>
        <v>560</v>
      </c>
      <c r="L64" s="5">
        <f>570</f>
        <v>570</v>
      </c>
      <c r="M64" s="5">
        <f>295</f>
        <v>295</v>
      </c>
      <c r="N64" s="5">
        <f t="shared" si="12"/>
        <v>5545</v>
      </c>
    </row>
    <row r="65" spans="1:14" x14ac:dyDescent="0.55000000000000004">
      <c r="A65" s="3" t="s">
        <v>72</v>
      </c>
      <c r="B65" s="5">
        <f>3656.4</f>
        <v>3656.4</v>
      </c>
      <c r="C65" s="5">
        <f>3047</f>
        <v>3047</v>
      </c>
      <c r="D65" s="5">
        <f>3656.4</f>
        <v>3656.4</v>
      </c>
      <c r="E65" s="5">
        <f>3756.4</f>
        <v>3756.4</v>
      </c>
      <c r="F65" s="5">
        <f>5025.2</f>
        <v>5025.2</v>
      </c>
      <c r="G65" s="5">
        <f>5301.78</f>
        <v>5301.78</v>
      </c>
      <c r="H65" s="5">
        <f>3939.22</f>
        <v>3939.22</v>
      </c>
      <c r="I65" s="5">
        <f>3960.94</f>
        <v>3960.94</v>
      </c>
      <c r="J65" s="4"/>
      <c r="K65" s="5">
        <f>7593.75</f>
        <v>7593.75</v>
      </c>
      <c r="L65" s="5">
        <f>2803.13</f>
        <v>2803.13</v>
      </c>
      <c r="M65" s="5">
        <f>3046.88</f>
        <v>3046.88</v>
      </c>
      <c r="N65" s="5">
        <f t="shared" si="12"/>
        <v>45787.099999999991</v>
      </c>
    </row>
    <row r="66" spans="1:14" x14ac:dyDescent="0.55000000000000004">
      <c r="A66" s="3" t="s">
        <v>73</v>
      </c>
      <c r="B66" s="6">
        <f t="shared" ref="B66:M66" si="16">((((B61)+(B62))+(B63))+(B64))+(B65)</f>
        <v>4449.3999999999996</v>
      </c>
      <c r="C66" s="6">
        <f t="shared" si="16"/>
        <v>3407</v>
      </c>
      <c r="D66" s="6">
        <f t="shared" si="16"/>
        <v>3826.4</v>
      </c>
      <c r="E66" s="6">
        <f t="shared" si="16"/>
        <v>5075.8999999999996</v>
      </c>
      <c r="F66" s="6">
        <f t="shared" si="16"/>
        <v>7734.95</v>
      </c>
      <c r="G66" s="6">
        <f t="shared" si="16"/>
        <v>7403.78</v>
      </c>
      <c r="H66" s="6">
        <f t="shared" si="16"/>
        <v>5241.2199999999993</v>
      </c>
      <c r="I66" s="6">
        <f t="shared" si="16"/>
        <v>5239.9400000000005</v>
      </c>
      <c r="J66" s="6">
        <f t="shared" si="16"/>
        <v>50</v>
      </c>
      <c r="K66" s="6">
        <f t="shared" si="16"/>
        <v>10041</v>
      </c>
      <c r="L66" s="6">
        <f t="shared" si="16"/>
        <v>3699.13</v>
      </c>
      <c r="M66" s="6">
        <f t="shared" si="16"/>
        <v>3843.88</v>
      </c>
      <c r="N66" s="6">
        <f t="shared" si="12"/>
        <v>60012.599999999991</v>
      </c>
    </row>
    <row r="67" spans="1:14" x14ac:dyDescent="0.55000000000000004">
      <c r="A67" s="3" t="s">
        <v>74</v>
      </c>
      <c r="B67" s="4"/>
      <c r="C67" s="4"/>
      <c r="D67" s="4"/>
      <c r="E67" s="4"/>
      <c r="F67" s="5">
        <f>31.25</f>
        <v>31.25</v>
      </c>
      <c r="G67" s="5">
        <f>47.74</f>
        <v>47.74</v>
      </c>
      <c r="H67" s="5">
        <f>630.3</f>
        <v>630.29999999999995</v>
      </c>
      <c r="I67" s="4"/>
      <c r="J67" s="5">
        <f>191.6</f>
        <v>191.6</v>
      </c>
      <c r="K67" s="5">
        <f>99.84</f>
        <v>99.84</v>
      </c>
      <c r="L67" s="5">
        <f>152.78</f>
        <v>152.78</v>
      </c>
      <c r="M67" s="4"/>
      <c r="N67" s="5">
        <f t="shared" si="12"/>
        <v>1153.51</v>
      </c>
    </row>
    <row r="68" spans="1:14" x14ac:dyDescent="0.55000000000000004">
      <c r="A68" s="3" t="s">
        <v>75</v>
      </c>
      <c r="B68" s="4"/>
      <c r="C68" s="4"/>
      <c r="D68" s="4"/>
      <c r="E68" s="5">
        <f>42.08</f>
        <v>42.08</v>
      </c>
      <c r="F68" s="4"/>
      <c r="G68" s="5">
        <f>748</f>
        <v>748</v>
      </c>
      <c r="H68" s="5">
        <f>283.62</f>
        <v>283.62</v>
      </c>
      <c r="I68" s="5">
        <f>477.5</f>
        <v>477.5</v>
      </c>
      <c r="J68" s="4"/>
      <c r="K68" s="4"/>
      <c r="L68" s="4"/>
      <c r="M68" s="4"/>
      <c r="N68" s="5">
        <f t="shared" si="12"/>
        <v>1551.2</v>
      </c>
    </row>
    <row r="69" spans="1:14" x14ac:dyDescent="0.55000000000000004">
      <c r="A69" s="3" t="s">
        <v>76</v>
      </c>
      <c r="B69" s="4"/>
      <c r="C69" s="4"/>
      <c r="D69" s="5">
        <f>86.95</f>
        <v>86.95</v>
      </c>
      <c r="E69" s="5">
        <f>231.98</f>
        <v>231.98</v>
      </c>
      <c r="F69" s="5">
        <f>15</f>
        <v>15</v>
      </c>
      <c r="G69" s="5">
        <f>0</f>
        <v>0</v>
      </c>
      <c r="H69" s="5">
        <f>0</f>
        <v>0</v>
      </c>
      <c r="I69" s="5">
        <f>28.44</f>
        <v>28.44</v>
      </c>
      <c r="J69" s="5">
        <f>10.98</f>
        <v>10.98</v>
      </c>
      <c r="K69" s="5">
        <f>14.62</f>
        <v>14.62</v>
      </c>
      <c r="L69" s="4"/>
      <c r="M69" s="5">
        <f>14.95</f>
        <v>14.95</v>
      </c>
      <c r="N69" s="5">
        <f t="shared" si="12"/>
        <v>402.92</v>
      </c>
    </row>
    <row r="70" spans="1:14" x14ac:dyDescent="0.55000000000000004">
      <c r="A70" s="3" t="s">
        <v>77</v>
      </c>
      <c r="B70" s="5">
        <f>267.51</f>
        <v>267.51</v>
      </c>
      <c r="C70" s="5">
        <f>54.6</f>
        <v>54.6</v>
      </c>
      <c r="D70" s="5">
        <f>3.28</f>
        <v>3.28</v>
      </c>
      <c r="E70" s="5">
        <f>92.69</f>
        <v>92.69</v>
      </c>
      <c r="F70" s="5">
        <f>122.82</f>
        <v>122.82</v>
      </c>
      <c r="G70" s="5">
        <f>38.93</f>
        <v>38.93</v>
      </c>
      <c r="H70" s="5">
        <f>80.84</f>
        <v>80.84</v>
      </c>
      <c r="I70" s="5">
        <f>23.92</f>
        <v>23.92</v>
      </c>
      <c r="J70" s="5">
        <f>116.01</f>
        <v>116.01</v>
      </c>
      <c r="K70" s="5">
        <f>115.03</f>
        <v>115.03</v>
      </c>
      <c r="L70" s="5">
        <f>206.48</f>
        <v>206.48</v>
      </c>
      <c r="M70" s="5">
        <f>257.3</f>
        <v>257.3</v>
      </c>
      <c r="N70" s="5">
        <f t="shared" si="12"/>
        <v>1379.4099999999999</v>
      </c>
    </row>
    <row r="71" spans="1:14" x14ac:dyDescent="0.55000000000000004">
      <c r="A71" s="3" t="s">
        <v>78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>
        <f t="shared" si="12"/>
        <v>0</v>
      </c>
    </row>
    <row r="72" spans="1:14" x14ac:dyDescent="0.55000000000000004">
      <c r="A72" s="3" t="s">
        <v>79</v>
      </c>
      <c r="B72" s="5">
        <f>45</f>
        <v>45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>
        <f t="shared" si="12"/>
        <v>45</v>
      </c>
    </row>
    <row r="73" spans="1:14" x14ac:dyDescent="0.55000000000000004">
      <c r="A73" s="3" t="s">
        <v>80</v>
      </c>
      <c r="B73" s="6">
        <f t="shared" ref="B73:M73" si="17">(B71)+(B72)</f>
        <v>45</v>
      </c>
      <c r="C73" s="6">
        <f t="shared" si="17"/>
        <v>0</v>
      </c>
      <c r="D73" s="6">
        <f t="shared" si="17"/>
        <v>0</v>
      </c>
      <c r="E73" s="6">
        <f t="shared" si="17"/>
        <v>0</v>
      </c>
      <c r="F73" s="6">
        <f t="shared" si="17"/>
        <v>0</v>
      </c>
      <c r="G73" s="6">
        <f t="shared" si="17"/>
        <v>0</v>
      </c>
      <c r="H73" s="6">
        <f t="shared" si="17"/>
        <v>0</v>
      </c>
      <c r="I73" s="6">
        <f t="shared" si="17"/>
        <v>0</v>
      </c>
      <c r="J73" s="6">
        <f t="shared" si="17"/>
        <v>0</v>
      </c>
      <c r="K73" s="6">
        <f t="shared" si="17"/>
        <v>0</v>
      </c>
      <c r="L73" s="6">
        <f t="shared" si="17"/>
        <v>0</v>
      </c>
      <c r="M73" s="6">
        <f t="shared" si="17"/>
        <v>0</v>
      </c>
      <c r="N73" s="6">
        <f t="shared" si="12"/>
        <v>45</v>
      </c>
    </row>
    <row r="74" spans="1:14" x14ac:dyDescent="0.55000000000000004">
      <c r="A74" s="3" t="s">
        <v>81</v>
      </c>
      <c r="B74" s="5">
        <f>650</f>
        <v>650</v>
      </c>
      <c r="C74" s="4"/>
      <c r="D74" s="4"/>
      <c r="E74" s="4"/>
      <c r="F74" s="5">
        <f>100</f>
        <v>100</v>
      </c>
      <c r="G74" s="4"/>
      <c r="H74" s="4"/>
      <c r="I74" s="4"/>
      <c r="J74" s="4"/>
      <c r="K74" s="4"/>
      <c r="L74" s="5">
        <f>330</f>
        <v>330</v>
      </c>
      <c r="M74" s="4"/>
      <c r="N74" s="5">
        <f t="shared" si="12"/>
        <v>1080</v>
      </c>
    </row>
    <row r="75" spans="1:14" x14ac:dyDescent="0.55000000000000004">
      <c r="A75" s="3" t="s">
        <v>82</v>
      </c>
      <c r="B75" s="5">
        <f>44</f>
        <v>44</v>
      </c>
      <c r="C75" s="4"/>
      <c r="D75" s="5">
        <f>30</f>
        <v>30</v>
      </c>
      <c r="E75" s="4"/>
      <c r="F75" s="5">
        <f>15</f>
        <v>15</v>
      </c>
      <c r="G75" s="4"/>
      <c r="H75" s="4"/>
      <c r="I75" s="4"/>
      <c r="J75" s="4"/>
      <c r="K75" s="4"/>
      <c r="L75" s="4"/>
      <c r="M75" s="4"/>
      <c r="N75" s="5">
        <f t="shared" si="12"/>
        <v>89</v>
      </c>
    </row>
    <row r="76" spans="1:14" x14ac:dyDescent="0.55000000000000004">
      <c r="A76" s="3" t="s">
        <v>83</v>
      </c>
      <c r="B76" s="4"/>
      <c r="C76" s="4"/>
      <c r="D76" s="5">
        <f>305</f>
        <v>305</v>
      </c>
      <c r="E76" s="4"/>
      <c r="F76" s="4"/>
      <c r="G76" s="4"/>
      <c r="H76" s="4"/>
      <c r="I76" s="4"/>
      <c r="J76" s="4"/>
      <c r="K76" s="4"/>
      <c r="L76" s="4"/>
      <c r="M76" s="4"/>
      <c r="N76" s="5">
        <f t="shared" si="12"/>
        <v>305</v>
      </c>
    </row>
    <row r="77" spans="1:14" x14ac:dyDescent="0.55000000000000004">
      <c r="A77" s="3" t="s">
        <v>84</v>
      </c>
      <c r="B77" s="5">
        <f>46.34</f>
        <v>46.34</v>
      </c>
      <c r="C77" s="5">
        <f>54.41</f>
        <v>54.41</v>
      </c>
      <c r="D77" s="5">
        <f>12.24</f>
        <v>12.24</v>
      </c>
      <c r="E77" s="4"/>
      <c r="F77" s="4"/>
      <c r="G77" s="4"/>
      <c r="H77" s="4"/>
      <c r="I77" s="4"/>
      <c r="J77" s="5">
        <f>18.33</f>
        <v>18.329999999999998</v>
      </c>
      <c r="K77" s="5">
        <f>154.14</f>
        <v>154.13999999999999</v>
      </c>
      <c r="L77" s="5">
        <f>83.9</f>
        <v>83.9</v>
      </c>
      <c r="M77" s="5">
        <f>37.19</f>
        <v>37.19</v>
      </c>
      <c r="N77" s="5">
        <f t="shared" si="12"/>
        <v>406.55</v>
      </c>
    </row>
    <row r="78" spans="1:14" x14ac:dyDescent="0.55000000000000004">
      <c r="A78" s="3" t="s">
        <v>85</v>
      </c>
      <c r="B78" s="4"/>
      <c r="C78" s="4"/>
      <c r="D78" s="4"/>
      <c r="E78" s="4"/>
      <c r="F78" s="5">
        <f>110</f>
        <v>110</v>
      </c>
      <c r="G78" s="5">
        <f>60</f>
        <v>60</v>
      </c>
      <c r="H78" s="5">
        <f>25</f>
        <v>25</v>
      </c>
      <c r="I78" s="5">
        <f>20</f>
        <v>20</v>
      </c>
      <c r="J78" s="5">
        <f>25</f>
        <v>25</v>
      </c>
      <c r="K78" s="5">
        <f>60</f>
        <v>60</v>
      </c>
      <c r="L78" s="5">
        <f>75</f>
        <v>75</v>
      </c>
      <c r="M78" s="5">
        <f>95</f>
        <v>95</v>
      </c>
      <c r="N78" s="5">
        <f t="shared" ref="N78:N109" si="18">(((((((((((B78)+(C78))+(D78))+(E78))+(F78))+(G78))+(H78))+(I78))+(J78))+(K78))+(L78))+(M78)</f>
        <v>470</v>
      </c>
    </row>
    <row r="79" spans="1:14" x14ac:dyDescent="0.55000000000000004">
      <c r="A79" s="3" t="s">
        <v>86</v>
      </c>
      <c r="B79" s="5">
        <f>38.66</f>
        <v>38.659999999999997</v>
      </c>
      <c r="C79" s="5">
        <f>116</f>
        <v>116</v>
      </c>
      <c r="D79" s="5">
        <f>1169.98</f>
        <v>1169.98</v>
      </c>
      <c r="E79" s="5">
        <f>-211.12</f>
        <v>-211.12</v>
      </c>
      <c r="F79" s="4"/>
      <c r="G79" s="5">
        <f>87.84</f>
        <v>87.84</v>
      </c>
      <c r="H79" s="5">
        <f>49.5</f>
        <v>49.5</v>
      </c>
      <c r="I79" s="4"/>
      <c r="J79" s="5">
        <f>15.11</f>
        <v>15.11</v>
      </c>
      <c r="K79" s="4"/>
      <c r="L79" s="4"/>
      <c r="M79" s="5">
        <f>46.84</f>
        <v>46.84</v>
      </c>
      <c r="N79" s="5">
        <f t="shared" si="18"/>
        <v>1312.8099999999997</v>
      </c>
    </row>
    <row r="80" spans="1:14" x14ac:dyDescent="0.55000000000000004">
      <c r="A80" s="3" t="s">
        <v>87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>
        <f t="shared" si="18"/>
        <v>0</v>
      </c>
    </row>
    <row r="81" spans="1:14" x14ac:dyDescent="0.55000000000000004">
      <c r="A81" s="3" t="s">
        <v>88</v>
      </c>
      <c r="B81" s="5">
        <f>125</f>
        <v>125</v>
      </c>
      <c r="C81" s="5">
        <f>75</f>
        <v>75</v>
      </c>
      <c r="D81" s="5">
        <f>100</f>
        <v>100</v>
      </c>
      <c r="E81" s="5">
        <f>100</f>
        <v>100</v>
      </c>
      <c r="F81" s="5">
        <f>144.79</f>
        <v>144.79</v>
      </c>
      <c r="G81" s="5">
        <f>81.91</f>
        <v>81.91</v>
      </c>
      <c r="H81" s="5">
        <f>52.99</f>
        <v>52.99</v>
      </c>
      <c r="I81" s="5">
        <f>45</f>
        <v>45</v>
      </c>
      <c r="J81" s="5">
        <f>30</f>
        <v>30</v>
      </c>
      <c r="K81" s="5">
        <f>30</f>
        <v>30</v>
      </c>
      <c r="L81" s="5">
        <f>30</f>
        <v>30</v>
      </c>
      <c r="M81" s="5">
        <f>30</f>
        <v>30</v>
      </c>
      <c r="N81" s="5">
        <f t="shared" si="18"/>
        <v>844.68999999999994</v>
      </c>
    </row>
    <row r="82" spans="1:14" x14ac:dyDescent="0.55000000000000004">
      <c r="A82" s="3" t="s">
        <v>89</v>
      </c>
      <c r="B82" s="5">
        <f>163.2</f>
        <v>163.19999999999999</v>
      </c>
      <c r="C82" s="5">
        <f>94.14</f>
        <v>94.14</v>
      </c>
      <c r="D82" s="5">
        <f>128.63</f>
        <v>128.63</v>
      </c>
      <c r="E82" s="5">
        <f>57.9</f>
        <v>57.9</v>
      </c>
      <c r="F82" s="5">
        <f>65.13</f>
        <v>65.13</v>
      </c>
      <c r="G82" s="5">
        <f>93.34</f>
        <v>93.34</v>
      </c>
      <c r="H82" s="5">
        <f>124.46</f>
        <v>124.46</v>
      </c>
      <c r="I82" s="5">
        <f>62.23</f>
        <v>62.23</v>
      </c>
      <c r="J82" s="5">
        <f>93.34</f>
        <v>93.34</v>
      </c>
      <c r="K82" s="5">
        <f>251.55</f>
        <v>251.55</v>
      </c>
      <c r="L82" s="5">
        <f>314.66</f>
        <v>314.66000000000003</v>
      </c>
      <c r="M82" s="5">
        <f>338.31</f>
        <v>338.31</v>
      </c>
      <c r="N82" s="5">
        <f t="shared" si="18"/>
        <v>1786.89</v>
      </c>
    </row>
    <row r="83" spans="1:14" x14ac:dyDescent="0.55000000000000004">
      <c r="A83" s="3" t="s">
        <v>90</v>
      </c>
      <c r="B83" s="5">
        <f>36.17</f>
        <v>36.17</v>
      </c>
      <c r="C83" s="4"/>
      <c r="D83" s="5">
        <f>69.45</f>
        <v>69.45</v>
      </c>
      <c r="E83" s="5">
        <f>16.44</f>
        <v>16.440000000000001</v>
      </c>
      <c r="F83" s="5">
        <f>40.79</f>
        <v>40.79</v>
      </c>
      <c r="G83" s="5">
        <f>0</f>
        <v>0</v>
      </c>
      <c r="H83" s="5">
        <f>0</f>
        <v>0</v>
      </c>
      <c r="I83" s="5">
        <f>101.21</f>
        <v>101.21</v>
      </c>
      <c r="J83" s="5">
        <f>74.48</f>
        <v>74.48</v>
      </c>
      <c r="K83" s="4"/>
      <c r="L83" s="4"/>
      <c r="M83" s="5">
        <f>101.27</f>
        <v>101.27</v>
      </c>
      <c r="N83" s="5">
        <f t="shared" si="18"/>
        <v>439.81</v>
      </c>
    </row>
    <row r="84" spans="1:14" x14ac:dyDescent="0.55000000000000004">
      <c r="A84" s="3" t="s">
        <v>91</v>
      </c>
      <c r="B84" s="5">
        <f>90.37</f>
        <v>90.37</v>
      </c>
      <c r="C84" s="4"/>
      <c r="D84" s="5">
        <f>15</f>
        <v>15</v>
      </c>
      <c r="E84" s="5">
        <f>25</f>
        <v>25</v>
      </c>
      <c r="F84" s="5">
        <f>49.99</f>
        <v>49.99</v>
      </c>
      <c r="G84" s="4"/>
      <c r="H84" s="5">
        <f>31.66</f>
        <v>31.66</v>
      </c>
      <c r="I84" s="5">
        <f>410.98</f>
        <v>410.98</v>
      </c>
      <c r="J84" s="5">
        <f>6.97</f>
        <v>6.97</v>
      </c>
      <c r="K84" s="4"/>
      <c r="L84" s="5">
        <f>126.97</f>
        <v>126.97</v>
      </c>
      <c r="M84" s="5">
        <f>18.09</f>
        <v>18.09</v>
      </c>
      <c r="N84" s="5">
        <f t="shared" si="18"/>
        <v>775.03000000000009</v>
      </c>
    </row>
    <row r="85" spans="1:14" x14ac:dyDescent="0.55000000000000004">
      <c r="A85" s="3" t="s">
        <v>92</v>
      </c>
      <c r="B85" s="4"/>
      <c r="C85" s="5">
        <f>4.39</f>
        <v>4.3899999999999997</v>
      </c>
      <c r="D85" s="4"/>
      <c r="E85" s="5">
        <f>88</f>
        <v>88</v>
      </c>
      <c r="F85" s="4"/>
      <c r="G85" s="4"/>
      <c r="H85" s="4"/>
      <c r="I85" s="4"/>
      <c r="J85" s="4"/>
      <c r="K85" s="4"/>
      <c r="L85" s="5">
        <f>8.2</f>
        <v>8.1999999999999993</v>
      </c>
      <c r="M85" s="5">
        <f>14.7</f>
        <v>14.7</v>
      </c>
      <c r="N85" s="5">
        <f t="shared" si="18"/>
        <v>115.29</v>
      </c>
    </row>
    <row r="86" spans="1:14" x14ac:dyDescent="0.55000000000000004">
      <c r="A86" s="3" t="s">
        <v>93</v>
      </c>
      <c r="B86" s="4"/>
      <c r="C86" s="4"/>
      <c r="D86" s="4"/>
      <c r="E86" s="4"/>
      <c r="F86" s="5">
        <f>8.16</f>
        <v>8.16</v>
      </c>
      <c r="G86" s="4"/>
      <c r="H86" s="5">
        <f>-0.08</f>
        <v>-0.08</v>
      </c>
      <c r="I86" s="4"/>
      <c r="J86" s="5">
        <f>50</f>
        <v>50</v>
      </c>
      <c r="K86" s="4"/>
      <c r="L86" s="4"/>
      <c r="M86" s="5">
        <f>1.1</f>
        <v>1.1000000000000001</v>
      </c>
      <c r="N86" s="5">
        <f t="shared" si="18"/>
        <v>59.18</v>
      </c>
    </row>
    <row r="87" spans="1:14" x14ac:dyDescent="0.55000000000000004">
      <c r="A87" s="3" t="s">
        <v>94</v>
      </c>
      <c r="B87" s="6">
        <f t="shared" ref="B87:M87" si="19">((((((B80)+(B81))+(B82))+(B83))+(B84))+(B85))+(B86)</f>
        <v>414.74</v>
      </c>
      <c r="C87" s="6">
        <f t="shared" si="19"/>
        <v>173.52999999999997</v>
      </c>
      <c r="D87" s="6">
        <f t="shared" si="19"/>
        <v>313.08</v>
      </c>
      <c r="E87" s="6">
        <f t="shared" si="19"/>
        <v>287.34000000000003</v>
      </c>
      <c r="F87" s="6">
        <f t="shared" si="19"/>
        <v>308.86</v>
      </c>
      <c r="G87" s="6">
        <f t="shared" si="19"/>
        <v>175.25</v>
      </c>
      <c r="H87" s="6">
        <f t="shared" si="19"/>
        <v>209.02999999999997</v>
      </c>
      <c r="I87" s="6">
        <f t="shared" si="19"/>
        <v>619.42000000000007</v>
      </c>
      <c r="J87" s="6">
        <f t="shared" si="19"/>
        <v>254.79</v>
      </c>
      <c r="K87" s="6">
        <f t="shared" si="19"/>
        <v>281.55</v>
      </c>
      <c r="L87" s="6">
        <f t="shared" si="19"/>
        <v>479.83</v>
      </c>
      <c r="M87" s="6">
        <f t="shared" si="19"/>
        <v>503.46999999999997</v>
      </c>
      <c r="N87" s="6">
        <f t="shared" si="18"/>
        <v>4020.89</v>
      </c>
    </row>
    <row r="88" spans="1:14" x14ac:dyDescent="0.55000000000000004">
      <c r="A88" s="3" t="s">
        <v>95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>
        <f t="shared" si="18"/>
        <v>0</v>
      </c>
    </row>
    <row r="89" spans="1:14" x14ac:dyDescent="0.55000000000000004">
      <c r="A89" s="3" t="s">
        <v>96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5">
        <f>40.94</f>
        <v>40.94</v>
      </c>
      <c r="M89" s="4"/>
      <c r="N89" s="5">
        <f t="shared" si="18"/>
        <v>40.94</v>
      </c>
    </row>
    <row r="90" spans="1:14" x14ac:dyDescent="0.55000000000000004">
      <c r="A90" s="3" t="s">
        <v>97</v>
      </c>
      <c r="B90" s="5">
        <f>101.33</f>
        <v>101.33</v>
      </c>
      <c r="C90" s="4"/>
      <c r="D90" s="4"/>
      <c r="E90" s="4"/>
      <c r="F90" s="4"/>
      <c r="G90" s="5">
        <f>96</f>
        <v>96</v>
      </c>
      <c r="H90" s="4"/>
      <c r="I90" s="4"/>
      <c r="J90" s="4"/>
      <c r="K90" s="4"/>
      <c r="L90" s="4"/>
      <c r="M90" s="5">
        <f>6</f>
        <v>6</v>
      </c>
      <c r="N90" s="5">
        <f t="shared" si="18"/>
        <v>203.32999999999998</v>
      </c>
    </row>
    <row r="91" spans="1:14" x14ac:dyDescent="0.55000000000000004">
      <c r="A91" s="3" t="s">
        <v>98</v>
      </c>
      <c r="B91" s="6">
        <f t="shared" ref="B91:M91" si="20">((B88)+(B89))+(B90)</f>
        <v>101.33</v>
      </c>
      <c r="C91" s="6">
        <f t="shared" si="20"/>
        <v>0</v>
      </c>
      <c r="D91" s="6">
        <f t="shared" si="20"/>
        <v>0</v>
      </c>
      <c r="E91" s="6">
        <f t="shared" si="20"/>
        <v>0</v>
      </c>
      <c r="F91" s="6">
        <f t="shared" si="20"/>
        <v>0</v>
      </c>
      <c r="G91" s="6">
        <f t="shared" si="20"/>
        <v>96</v>
      </c>
      <c r="H91" s="6">
        <f t="shared" si="20"/>
        <v>0</v>
      </c>
      <c r="I91" s="6">
        <f t="shared" si="20"/>
        <v>0</v>
      </c>
      <c r="J91" s="6">
        <f t="shared" si="20"/>
        <v>0</v>
      </c>
      <c r="K91" s="6">
        <f t="shared" si="20"/>
        <v>0</v>
      </c>
      <c r="L91" s="6">
        <f t="shared" si="20"/>
        <v>40.94</v>
      </c>
      <c r="M91" s="6">
        <f t="shared" si="20"/>
        <v>6</v>
      </c>
      <c r="N91" s="6">
        <f t="shared" si="18"/>
        <v>244.26999999999998</v>
      </c>
    </row>
    <row r="92" spans="1:14" x14ac:dyDescent="0.55000000000000004">
      <c r="A92" s="3" t="s">
        <v>99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5">
        <f>30</f>
        <v>30</v>
      </c>
      <c r="M92" s="4"/>
      <c r="N92" s="5">
        <f t="shared" si="18"/>
        <v>30</v>
      </c>
    </row>
    <row r="93" spans="1:14" x14ac:dyDescent="0.55000000000000004">
      <c r="A93" s="3" t="s">
        <v>100</v>
      </c>
      <c r="B93" s="5">
        <f>116.55</f>
        <v>116.55</v>
      </c>
      <c r="C93" s="5">
        <f>248.61</f>
        <v>248.61</v>
      </c>
      <c r="D93" s="5">
        <f>164.95</f>
        <v>164.95</v>
      </c>
      <c r="E93" s="5">
        <f>643.95</f>
        <v>643.95000000000005</v>
      </c>
      <c r="F93" s="5">
        <f>138.37</f>
        <v>138.37</v>
      </c>
      <c r="G93" s="5">
        <f>171.46</f>
        <v>171.46</v>
      </c>
      <c r="H93" s="5">
        <f>251.72</f>
        <v>251.72</v>
      </c>
      <c r="I93" s="5">
        <f>366.15</f>
        <v>366.15</v>
      </c>
      <c r="J93" s="5">
        <f>312.02</f>
        <v>312.02</v>
      </c>
      <c r="K93" s="5">
        <f>255.57</f>
        <v>255.57</v>
      </c>
      <c r="L93" s="5">
        <f>212.44</f>
        <v>212.44</v>
      </c>
      <c r="M93" s="5">
        <f>246.6</f>
        <v>246.6</v>
      </c>
      <c r="N93" s="5">
        <f t="shared" si="18"/>
        <v>3128.39</v>
      </c>
    </row>
    <row r="94" spans="1:14" x14ac:dyDescent="0.55000000000000004">
      <c r="A94" s="3" t="s">
        <v>101</v>
      </c>
      <c r="B94" s="4"/>
      <c r="C94" s="4"/>
      <c r="D94" s="4"/>
      <c r="E94" s="4"/>
      <c r="F94" s="4"/>
      <c r="G94" s="5">
        <f>25</f>
        <v>25</v>
      </c>
      <c r="H94" s="4"/>
      <c r="I94" s="4"/>
      <c r="J94" s="4"/>
      <c r="K94" s="4"/>
      <c r="L94" s="4"/>
      <c r="M94" s="4"/>
      <c r="N94" s="5">
        <f t="shared" si="18"/>
        <v>25</v>
      </c>
    </row>
    <row r="95" spans="1:14" x14ac:dyDescent="0.55000000000000004">
      <c r="A95" s="3" t="s">
        <v>102</v>
      </c>
      <c r="B95" s="4"/>
      <c r="C95" s="4"/>
      <c r="D95" s="5">
        <f>83.39</f>
        <v>83.39</v>
      </c>
      <c r="E95" s="4"/>
      <c r="F95" s="4"/>
      <c r="G95" s="4"/>
      <c r="H95" s="4"/>
      <c r="I95" s="5">
        <f>49.38</f>
        <v>49.38</v>
      </c>
      <c r="J95" s="4"/>
      <c r="K95" s="5">
        <f>99.66</f>
        <v>99.66</v>
      </c>
      <c r="L95" s="5">
        <f>196.01</f>
        <v>196.01</v>
      </c>
      <c r="M95" s="4"/>
      <c r="N95" s="5">
        <f t="shared" si="18"/>
        <v>428.44</v>
      </c>
    </row>
    <row r="96" spans="1:14" x14ac:dyDescent="0.55000000000000004">
      <c r="A96" s="3" t="s">
        <v>103</v>
      </c>
      <c r="B96" s="4"/>
      <c r="C96" s="5">
        <f>9</f>
        <v>9</v>
      </c>
      <c r="D96" s="5">
        <f>67.14</f>
        <v>67.14</v>
      </c>
      <c r="E96" s="5">
        <f>12</f>
        <v>12</v>
      </c>
      <c r="F96" s="4"/>
      <c r="G96" s="5">
        <f>64.34</f>
        <v>64.34</v>
      </c>
      <c r="H96" s="5">
        <f>5.5</f>
        <v>5.5</v>
      </c>
      <c r="I96" s="5">
        <f>28</f>
        <v>28</v>
      </c>
      <c r="J96" s="4"/>
      <c r="K96" s="4"/>
      <c r="L96" s="4"/>
      <c r="M96" s="4"/>
      <c r="N96" s="5">
        <f t="shared" si="18"/>
        <v>185.98000000000002</v>
      </c>
    </row>
    <row r="97" spans="1:14" x14ac:dyDescent="0.55000000000000004">
      <c r="A97" s="3" t="s">
        <v>104</v>
      </c>
      <c r="B97" s="4"/>
      <c r="C97" s="4"/>
      <c r="D97" s="4"/>
      <c r="E97" s="4"/>
      <c r="F97" s="4"/>
      <c r="G97" s="4"/>
      <c r="H97" s="4"/>
      <c r="I97" s="5">
        <f>6</f>
        <v>6</v>
      </c>
      <c r="J97" s="4"/>
      <c r="K97" s="4"/>
      <c r="L97" s="4"/>
      <c r="M97" s="4"/>
      <c r="N97" s="5">
        <f t="shared" si="18"/>
        <v>6</v>
      </c>
    </row>
    <row r="98" spans="1:14" x14ac:dyDescent="0.55000000000000004">
      <c r="A98" s="3" t="s">
        <v>105</v>
      </c>
      <c r="B98" s="6">
        <f t="shared" ref="B98:M98" si="21">(((((B92)+(B93))+(B94))+(B95))+(B96))+(B97)</f>
        <v>116.55</v>
      </c>
      <c r="C98" s="6">
        <f t="shared" si="21"/>
        <v>257.61</v>
      </c>
      <c r="D98" s="6">
        <f t="shared" si="21"/>
        <v>315.47999999999996</v>
      </c>
      <c r="E98" s="6">
        <f t="shared" si="21"/>
        <v>655.95</v>
      </c>
      <c r="F98" s="6">
        <f t="shared" si="21"/>
        <v>138.37</v>
      </c>
      <c r="G98" s="6">
        <f t="shared" si="21"/>
        <v>260.8</v>
      </c>
      <c r="H98" s="6">
        <f t="shared" si="21"/>
        <v>257.22000000000003</v>
      </c>
      <c r="I98" s="6">
        <f t="shared" si="21"/>
        <v>449.53</v>
      </c>
      <c r="J98" s="6">
        <f t="shared" si="21"/>
        <v>312.02</v>
      </c>
      <c r="K98" s="6">
        <f t="shared" si="21"/>
        <v>355.23</v>
      </c>
      <c r="L98" s="6">
        <f t="shared" si="21"/>
        <v>438.45</v>
      </c>
      <c r="M98" s="6">
        <f t="shared" si="21"/>
        <v>246.6</v>
      </c>
      <c r="N98" s="6">
        <f t="shared" si="18"/>
        <v>3803.81</v>
      </c>
    </row>
    <row r="99" spans="1:14" x14ac:dyDescent="0.55000000000000004">
      <c r="A99" s="3" t="s">
        <v>106</v>
      </c>
      <c r="B99" s="6">
        <f t="shared" ref="B99:M99" si="22">((((((((((((((((((B50)+(B53))+(B59))+(B60))+(B66))+(B67))+(B68))+(B69))+(B70))+(B73))+(B74))+(B75))+(B76))+(B77))+(B78))+(B79))+(B87))+(B91))+(B98)</f>
        <v>29486.960000000003</v>
      </c>
      <c r="C99" s="6">
        <f t="shared" si="22"/>
        <v>28059.61</v>
      </c>
      <c r="D99" s="6">
        <f t="shared" si="22"/>
        <v>41220.32</v>
      </c>
      <c r="E99" s="6">
        <f t="shared" si="22"/>
        <v>26807.99</v>
      </c>
      <c r="F99" s="6">
        <f t="shared" si="22"/>
        <v>28182.46</v>
      </c>
      <c r="G99" s="6">
        <f t="shared" si="22"/>
        <v>31118.81</v>
      </c>
      <c r="H99" s="6">
        <f t="shared" si="22"/>
        <v>30177.109999999997</v>
      </c>
      <c r="I99" s="6">
        <f t="shared" si="22"/>
        <v>30666.550000000003</v>
      </c>
      <c r="J99" s="6">
        <f t="shared" si="22"/>
        <v>38318.620000000003</v>
      </c>
      <c r="K99" s="6">
        <f t="shared" si="22"/>
        <v>36832.120000000003</v>
      </c>
      <c r="L99" s="6">
        <f t="shared" si="22"/>
        <v>30887.920000000002</v>
      </c>
      <c r="M99" s="6">
        <f t="shared" si="22"/>
        <v>31966.97</v>
      </c>
      <c r="N99" s="6">
        <f t="shared" si="18"/>
        <v>383725.43999999994</v>
      </c>
    </row>
    <row r="100" spans="1:14" x14ac:dyDescent="0.55000000000000004">
      <c r="A100" s="3" t="s">
        <v>107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>
        <f t="shared" si="18"/>
        <v>0</v>
      </c>
    </row>
    <row r="101" spans="1:14" x14ac:dyDescent="0.55000000000000004">
      <c r="A101" s="3" t="s">
        <v>108</v>
      </c>
      <c r="B101" s="4"/>
      <c r="C101" s="4"/>
      <c r="D101" s="4"/>
      <c r="E101" s="4"/>
      <c r="F101" s="4"/>
      <c r="G101" s="4"/>
      <c r="H101" s="4"/>
      <c r="I101" s="4"/>
      <c r="J101" s="5">
        <f>8292.21</f>
        <v>8292.2099999999991</v>
      </c>
      <c r="K101" s="4"/>
      <c r="L101" s="4"/>
      <c r="M101" s="4"/>
      <c r="N101" s="5">
        <f t="shared" si="18"/>
        <v>8292.2099999999991</v>
      </c>
    </row>
    <row r="102" spans="1:14" x14ac:dyDescent="0.55000000000000004">
      <c r="A102" s="3" t="s">
        <v>109</v>
      </c>
      <c r="B102" s="4"/>
      <c r="C102" s="4"/>
      <c r="D102" s="4"/>
      <c r="E102" s="4"/>
      <c r="F102" s="5">
        <f>254.8</f>
        <v>254.8</v>
      </c>
      <c r="G102" s="4"/>
      <c r="H102" s="4"/>
      <c r="I102" s="4"/>
      <c r="J102" s="5">
        <f>11436.5</f>
        <v>11436.5</v>
      </c>
      <c r="K102" s="5">
        <f>-1500</f>
        <v>-1500</v>
      </c>
      <c r="L102" s="4"/>
      <c r="M102" s="4"/>
      <c r="N102" s="5">
        <f t="shared" si="18"/>
        <v>10191.299999999999</v>
      </c>
    </row>
    <row r="103" spans="1:14" x14ac:dyDescent="0.55000000000000004">
      <c r="A103" s="3" t="s">
        <v>110</v>
      </c>
      <c r="B103" s="4"/>
      <c r="C103" s="4"/>
      <c r="D103" s="4"/>
      <c r="E103" s="4"/>
      <c r="F103" s="4"/>
      <c r="G103" s="4"/>
      <c r="H103" s="5">
        <f>42.95</f>
        <v>42.95</v>
      </c>
      <c r="I103" s="4"/>
      <c r="J103" s="4"/>
      <c r="K103" s="4"/>
      <c r="L103" s="4"/>
      <c r="M103" s="4"/>
      <c r="N103" s="5">
        <f t="shared" si="18"/>
        <v>42.95</v>
      </c>
    </row>
    <row r="104" spans="1:14" x14ac:dyDescent="0.55000000000000004">
      <c r="A104" s="3" t="s">
        <v>111</v>
      </c>
      <c r="B104" s="4"/>
      <c r="C104" s="4"/>
      <c r="D104" s="5">
        <f>5500</f>
        <v>5500</v>
      </c>
      <c r="E104" s="4"/>
      <c r="F104" s="5">
        <f>-5500</f>
        <v>-5500</v>
      </c>
      <c r="G104" s="4"/>
      <c r="H104" s="5">
        <f>0</f>
        <v>0</v>
      </c>
      <c r="I104" s="4"/>
      <c r="J104" s="5">
        <f>5902.21</f>
        <v>5902.21</v>
      </c>
      <c r="K104" s="4"/>
      <c r="L104" s="4"/>
      <c r="M104" s="4"/>
      <c r="N104" s="5">
        <f t="shared" si="18"/>
        <v>5902.21</v>
      </c>
    </row>
    <row r="105" spans="1:14" x14ac:dyDescent="0.55000000000000004">
      <c r="A105" s="3" t="s">
        <v>112</v>
      </c>
      <c r="B105" s="4"/>
      <c r="C105" s="4"/>
      <c r="D105" s="4"/>
      <c r="E105" s="4"/>
      <c r="F105" s="5">
        <f>5500</f>
        <v>5500</v>
      </c>
      <c r="G105" s="4"/>
      <c r="H105" s="5">
        <f>5500</f>
        <v>5500</v>
      </c>
      <c r="I105" s="5">
        <f>361.49</f>
        <v>361.49</v>
      </c>
      <c r="J105" s="5">
        <f>-8795.96</f>
        <v>-8795.9599999999991</v>
      </c>
      <c r="K105" s="4"/>
      <c r="L105" s="4"/>
      <c r="M105" s="4"/>
      <c r="N105" s="5">
        <f t="shared" si="18"/>
        <v>2565.5300000000007</v>
      </c>
    </row>
    <row r="106" spans="1:14" x14ac:dyDescent="0.55000000000000004">
      <c r="A106" s="3" t="s">
        <v>113</v>
      </c>
      <c r="B106" s="4"/>
      <c r="C106" s="4"/>
      <c r="D106" s="4"/>
      <c r="E106" s="4"/>
      <c r="F106" s="4"/>
      <c r="G106" s="4"/>
      <c r="H106" s="4"/>
      <c r="I106" s="4"/>
      <c r="J106" s="5">
        <f>324.11</f>
        <v>324.11</v>
      </c>
      <c r="K106" s="4"/>
      <c r="L106" s="4"/>
      <c r="M106" s="4"/>
      <c r="N106" s="5">
        <f t="shared" si="18"/>
        <v>324.11</v>
      </c>
    </row>
    <row r="107" spans="1:14" x14ac:dyDescent="0.55000000000000004">
      <c r="A107" s="3" t="s">
        <v>114</v>
      </c>
      <c r="B107" s="4"/>
      <c r="C107" s="4"/>
      <c r="D107" s="4"/>
      <c r="E107" s="4"/>
      <c r="F107" s="5">
        <f>750</f>
        <v>750</v>
      </c>
      <c r="G107" s="4"/>
      <c r="H107" s="4"/>
      <c r="I107" s="4"/>
      <c r="J107" s="5">
        <f>4250</f>
        <v>4250</v>
      </c>
      <c r="K107" s="4"/>
      <c r="L107" s="4"/>
      <c r="M107" s="4"/>
      <c r="N107" s="5">
        <f t="shared" si="18"/>
        <v>5000</v>
      </c>
    </row>
    <row r="108" spans="1:14" x14ac:dyDescent="0.55000000000000004">
      <c r="A108" s="3" t="s">
        <v>115</v>
      </c>
      <c r="B108" s="6">
        <f t="shared" ref="B108:M108" si="23">(((((((B100)+(B101))+(B102))+(B103))+(B104))+(B105))+(B106))+(B107)</f>
        <v>0</v>
      </c>
      <c r="C108" s="6">
        <f t="shared" si="23"/>
        <v>0</v>
      </c>
      <c r="D108" s="6">
        <f t="shared" si="23"/>
        <v>5500</v>
      </c>
      <c r="E108" s="6">
        <f t="shared" si="23"/>
        <v>0</v>
      </c>
      <c r="F108" s="6">
        <f t="shared" si="23"/>
        <v>1004.8000000000002</v>
      </c>
      <c r="G108" s="6">
        <f t="shared" si="23"/>
        <v>0</v>
      </c>
      <c r="H108" s="6">
        <f t="shared" si="23"/>
        <v>5542.95</v>
      </c>
      <c r="I108" s="6">
        <f t="shared" si="23"/>
        <v>361.49</v>
      </c>
      <c r="J108" s="6">
        <f t="shared" si="23"/>
        <v>21409.07</v>
      </c>
      <c r="K108" s="6">
        <f t="shared" si="23"/>
        <v>-1500</v>
      </c>
      <c r="L108" s="6">
        <f t="shared" si="23"/>
        <v>0</v>
      </c>
      <c r="M108" s="6">
        <f t="shared" si="23"/>
        <v>0</v>
      </c>
      <c r="N108" s="6">
        <f t="shared" si="18"/>
        <v>32318.309999999998</v>
      </c>
    </row>
    <row r="109" spans="1:14" x14ac:dyDescent="0.55000000000000004">
      <c r="A109" s="3" t="s">
        <v>116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>
        <f t="shared" si="18"/>
        <v>0</v>
      </c>
    </row>
    <row r="110" spans="1:14" x14ac:dyDescent="0.55000000000000004">
      <c r="A110" s="3" t="s">
        <v>117</v>
      </c>
      <c r="B110" s="5">
        <f>59.79</f>
        <v>59.79</v>
      </c>
      <c r="C110" s="4"/>
      <c r="D110" s="5">
        <f>199.89</f>
        <v>199.89</v>
      </c>
      <c r="E110" s="5">
        <f>551.91</f>
        <v>551.91</v>
      </c>
      <c r="F110" s="5">
        <f>16.65</f>
        <v>16.649999999999999</v>
      </c>
      <c r="G110" s="5">
        <f>275.91</f>
        <v>275.91000000000003</v>
      </c>
      <c r="H110" s="5">
        <f>534.14</f>
        <v>534.14</v>
      </c>
      <c r="I110" s="5">
        <f>230.68</f>
        <v>230.68</v>
      </c>
      <c r="J110" s="5">
        <f>10.37</f>
        <v>10.37</v>
      </c>
      <c r="K110" s="5">
        <f>177.5</f>
        <v>177.5</v>
      </c>
      <c r="L110" s="5">
        <f>-32.23</f>
        <v>-32.229999999999997</v>
      </c>
      <c r="M110" s="5">
        <f>14.99</f>
        <v>14.99</v>
      </c>
      <c r="N110" s="5">
        <f t="shared" ref="N110:N141" si="24">(((((((((((B110)+(C110))+(D110))+(E110))+(F110))+(G110))+(H110))+(I110))+(J110))+(K110))+(L110))+(M110)</f>
        <v>2039.6000000000001</v>
      </c>
    </row>
    <row r="111" spans="1:14" x14ac:dyDescent="0.55000000000000004">
      <c r="A111" s="3" t="s">
        <v>118</v>
      </c>
      <c r="B111" s="5">
        <f>262.7</f>
        <v>262.7</v>
      </c>
      <c r="C111" s="5">
        <f>215</f>
        <v>215</v>
      </c>
      <c r="D111" s="5">
        <f>288.99</f>
        <v>288.99</v>
      </c>
      <c r="E111" s="5">
        <f>215</f>
        <v>215</v>
      </c>
      <c r="F111" s="5">
        <f>297.99</f>
        <v>297.99</v>
      </c>
      <c r="G111" s="5">
        <f>276.24</f>
        <v>276.24</v>
      </c>
      <c r="H111" s="5">
        <f>502.68</f>
        <v>502.68</v>
      </c>
      <c r="I111" s="5">
        <f>259.99</f>
        <v>259.99</v>
      </c>
      <c r="J111" s="5">
        <f>826</f>
        <v>826</v>
      </c>
      <c r="K111" s="5">
        <f>1158.92</f>
        <v>1158.92</v>
      </c>
      <c r="L111" s="5">
        <f>239.85</f>
        <v>239.85</v>
      </c>
      <c r="M111" s="5">
        <f>215</f>
        <v>215</v>
      </c>
      <c r="N111" s="5">
        <f t="shared" si="24"/>
        <v>4758.3600000000006</v>
      </c>
    </row>
    <row r="112" spans="1:14" x14ac:dyDescent="0.55000000000000004">
      <c r="A112" s="3" t="s">
        <v>119</v>
      </c>
      <c r="B112" s="5">
        <f>24.09</f>
        <v>24.09</v>
      </c>
      <c r="C112" s="5">
        <f>181.52</f>
        <v>181.52</v>
      </c>
      <c r="D112" s="5">
        <f>113.33</f>
        <v>113.33</v>
      </c>
      <c r="E112" s="5">
        <f>50</f>
        <v>50</v>
      </c>
      <c r="F112" s="5">
        <f>17.44</f>
        <v>17.440000000000001</v>
      </c>
      <c r="G112" s="5">
        <f>333.39</f>
        <v>333.39</v>
      </c>
      <c r="H112" s="5">
        <f>55.55</f>
        <v>55.55</v>
      </c>
      <c r="I112" s="5">
        <f>3.78</f>
        <v>3.78</v>
      </c>
      <c r="J112" s="5">
        <f>939.61</f>
        <v>939.61</v>
      </c>
      <c r="K112" s="4"/>
      <c r="L112" s="5">
        <f>22.08</f>
        <v>22.08</v>
      </c>
      <c r="M112" s="4"/>
      <c r="N112" s="5">
        <f t="shared" si="24"/>
        <v>1740.79</v>
      </c>
    </row>
    <row r="113" spans="1:14" x14ac:dyDescent="0.55000000000000004">
      <c r="A113" s="3" t="s">
        <v>120</v>
      </c>
      <c r="B113" s="4"/>
      <c r="C113" s="4"/>
      <c r="D113" s="4"/>
      <c r="E113" s="4"/>
      <c r="F113" s="4"/>
      <c r="G113" s="4"/>
      <c r="H113" s="4"/>
      <c r="I113" s="4"/>
      <c r="J113" s="5">
        <f>-12.5</f>
        <v>-12.5</v>
      </c>
      <c r="K113" s="4"/>
      <c r="L113" s="4"/>
      <c r="M113" s="4"/>
      <c r="N113" s="5">
        <f t="shared" si="24"/>
        <v>-12.5</v>
      </c>
    </row>
    <row r="114" spans="1:14" x14ac:dyDescent="0.55000000000000004">
      <c r="A114" s="3" t="s">
        <v>121</v>
      </c>
      <c r="B114" s="5">
        <f>61.5</f>
        <v>61.5</v>
      </c>
      <c r="C114" s="5">
        <f>122.5</f>
        <v>122.5</v>
      </c>
      <c r="D114" s="4"/>
      <c r="E114" s="5">
        <f>51</f>
        <v>51</v>
      </c>
      <c r="F114" s="5">
        <f>48.52</f>
        <v>48.52</v>
      </c>
      <c r="G114" s="5">
        <f>86.88</f>
        <v>86.88</v>
      </c>
      <c r="H114" s="5">
        <f>13.07</f>
        <v>13.07</v>
      </c>
      <c r="I114" s="5">
        <f>49.56</f>
        <v>49.56</v>
      </c>
      <c r="J114" s="5">
        <f>121.5</f>
        <v>121.5</v>
      </c>
      <c r="K114" s="5">
        <f>64.33</f>
        <v>64.33</v>
      </c>
      <c r="L114" s="5">
        <f>66.46</f>
        <v>66.459999999999994</v>
      </c>
      <c r="M114" s="5">
        <f>40.5</f>
        <v>40.5</v>
      </c>
      <c r="N114" s="5">
        <f t="shared" si="24"/>
        <v>725.82</v>
      </c>
    </row>
    <row r="115" spans="1:14" x14ac:dyDescent="0.55000000000000004">
      <c r="A115" s="3" t="s">
        <v>122</v>
      </c>
      <c r="B115" s="6">
        <f t="shared" ref="B115:M115" si="25">(B113)+(B114)</f>
        <v>61.5</v>
      </c>
      <c r="C115" s="6">
        <f t="shared" si="25"/>
        <v>122.5</v>
      </c>
      <c r="D115" s="6">
        <f t="shared" si="25"/>
        <v>0</v>
      </c>
      <c r="E115" s="6">
        <f t="shared" si="25"/>
        <v>51</v>
      </c>
      <c r="F115" s="6">
        <f t="shared" si="25"/>
        <v>48.52</v>
      </c>
      <c r="G115" s="6">
        <f t="shared" si="25"/>
        <v>86.88</v>
      </c>
      <c r="H115" s="6">
        <f t="shared" si="25"/>
        <v>13.07</v>
      </c>
      <c r="I115" s="6">
        <f t="shared" si="25"/>
        <v>49.56</v>
      </c>
      <c r="J115" s="6">
        <f t="shared" si="25"/>
        <v>109</v>
      </c>
      <c r="K115" s="6">
        <f t="shared" si="25"/>
        <v>64.33</v>
      </c>
      <c r="L115" s="6">
        <f t="shared" si="25"/>
        <v>66.459999999999994</v>
      </c>
      <c r="M115" s="6">
        <f t="shared" si="25"/>
        <v>40.5</v>
      </c>
      <c r="N115" s="6">
        <f t="shared" si="24"/>
        <v>713.32</v>
      </c>
    </row>
    <row r="116" spans="1:14" x14ac:dyDescent="0.55000000000000004">
      <c r="A116" s="3" t="s">
        <v>123</v>
      </c>
      <c r="B116" s="5">
        <f>150</f>
        <v>150</v>
      </c>
      <c r="C116" s="5">
        <f>100</f>
        <v>100</v>
      </c>
      <c r="D116" s="4"/>
      <c r="E116" s="5">
        <f>25</f>
        <v>25</v>
      </c>
      <c r="F116" s="5">
        <f>179.16</f>
        <v>179.16</v>
      </c>
      <c r="G116" s="5">
        <f>200</f>
        <v>200</v>
      </c>
      <c r="H116" s="5">
        <f>120</f>
        <v>120</v>
      </c>
      <c r="I116" s="5">
        <f>195</f>
        <v>195</v>
      </c>
      <c r="J116" s="5">
        <f>160</f>
        <v>160</v>
      </c>
      <c r="K116" s="5">
        <f>135</f>
        <v>135</v>
      </c>
      <c r="L116" s="5">
        <f>160</f>
        <v>160</v>
      </c>
      <c r="M116" s="5">
        <f>135</f>
        <v>135</v>
      </c>
      <c r="N116" s="5">
        <f t="shared" si="24"/>
        <v>1559.1599999999999</v>
      </c>
    </row>
    <row r="117" spans="1:14" x14ac:dyDescent="0.55000000000000004">
      <c r="A117" s="3" t="s">
        <v>124</v>
      </c>
      <c r="B117" s="5">
        <f>100</f>
        <v>100</v>
      </c>
      <c r="C117" s="5">
        <f>100</f>
        <v>100</v>
      </c>
      <c r="D117" s="5">
        <f>100</f>
        <v>100</v>
      </c>
      <c r="E117" s="5">
        <f>100</f>
        <v>100</v>
      </c>
      <c r="F117" s="5">
        <f>100</f>
        <v>100</v>
      </c>
      <c r="G117" s="5">
        <f>145</f>
        <v>145</v>
      </c>
      <c r="H117" s="5">
        <f>100</f>
        <v>100</v>
      </c>
      <c r="I117" s="5">
        <f>100</f>
        <v>100</v>
      </c>
      <c r="J117" s="5">
        <f>100</f>
        <v>100</v>
      </c>
      <c r="K117" s="5">
        <f>235</f>
        <v>235</v>
      </c>
      <c r="L117" s="5">
        <f>555</f>
        <v>555</v>
      </c>
      <c r="M117" s="5">
        <f>100</f>
        <v>100</v>
      </c>
      <c r="N117" s="5">
        <f t="shared" si="24"/>
        <v>1835</v>
      </c>
    </row>
    <row r="118" spans="1:14" x14ac:dyDescent="0.55000000000000004">
      <c r="A118" s="3" t="s">
        <v>125</v>
      </c>
      <c r="B118" s="4"/>
      <c r="C118" s="4"/>
      <c r="D118" s="5">
        <f>1432</f>
        <v>1432</v>
      </c>
      <c r="E118" s="4"/>
      <c r="F118" s="4"/>
      <c r="G118" s="4"/>
      <c r="H118" s="4"/>
      <c r="I118" s="4"/>
      <c r="J118" s="4"/>
      <c r="K118" s="4"/>
      <c r="L118" s="4"/>
      <c r="M118" s="5">
        <f>1432</f>
        <v>1432</v>
      </c>
      <c r="N118" s="5">
        <f t="shared" si="24"/>
        <v>2864</v>
      </c>
    </row>
    <row r="119" spans="1:14" x14ac:dyDescent="0.55000000000000004">
      <c r="A119" s="3" t="s">
        <v>126</v>
      </c>
      <c r="B119" s="4"/>
      <c r="C119" s="4"/>
      <c r="D119" s="4"/>
      <c r="E119" s="4"/>
      <c r="F119" s="4"/>
      <c r="G119" s="4"/>
      <c r="H119" s="4"/>
      <c r="I119" s="4"/>
      <c r="J119" s="5">
        <f>2525</f>
        <v>2525</v>
      </c>
      <c r="K119" s="4"/>
      <c r="L119" s="4"/>
      <c r="M119" s="4"/>
      <c r="N119" s="5">
        <f t="shared" si="24"/>
        <v>2525</v>
      </c>
    </row>
    <row r="120" spans="1:14" x14ac:dyDescent="0.55000000000000004">
      <c r="A120" s="3" t="s">
        <v>127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>
        <f t="shared" si="24"/>
        <v>0</v>
      </c>
    </row>
    <row r="121" spans="1:14" x14ac:dyDescent="0.55000000000000004">
      <c r="A121" s="3" t="s">
        <v>128</v>
      </c>
      <c r="B121" s="5">
        <f>192.03</f>
        <v>192.03</v>
      </c>
      <c r="C121" s="5">
        <f>229.88</f>
        <v>229.88</v>
      </c>
      <c r="D121" s="5">
        <f>136.68</f>
        <v>136.68</v>
      </c>
      <c r="E121" s="5">
        <f>215.72</f>
        <v>215.72</v>
      </c>
      <c r="F121" s="5">
        <f>267.53</f>
        <v>267.52999999999997</v>
      </c>
      <c r="G121" s="5">
        <f>184.43</f>
        <v>184.43</v>
      </c>
      <c r="H121" s="5">
        <f>109.32</f>
        <v>109.32</v>
      </c>
      <c r="I121" s="5">
        <f>460.14</f>
        <v>460.14</v>
      </c>
      <c r="J121" s="5">
        <f>973.78</f>
        <v>973.78</v>
      </c>
      <c r="K121" s="5">
        <f>161.53</f>
        <v>161.53</v>
      </c>
      <c r="L121" s="5">
        <f>247.92</f>
        <v>247.92</v>
      </c>
      <c r="M121" s="5">
        <f>603.92</f>
        <v>603.91999999999996</v>
      </c>
      <c r="N121" s="5">
        <f t="shared" si="24"/>
        <v>3782.8800000000006</v>
      </c>
    </row>
    <row r="122" spans="1:14" x14ac:dyDescent="0.55000000000000004">
      <c r="A122" s="3" t="s">
        <v>129</v>
      </c>
      <c r="B122" s="5">
        <f>148</f>
        <v>148</v>
      </c>
      <c r="C122" s="4"/>
      <c r="D122" s="5">
        <f>744.31</f>
        <v>744.31</v>
      </c>
      <c r="E122" s="5">
        <f>40.95</f>
        <v>40.950000000000003</v>
      </c>
      <c r="F122" s="5">
        <f>190.83</f>
        <v>190.83</v>
      </c>
      <c r="G122" s="5">
        <f>1.3</f>
        <v>1.3</v>
      </c>
      <c r="H122" s="5">
        <f>0</f>
        <v>0</v>
      </c>
      <c r="I122" s="5">
        <f>330</f>
        <v>330</v>
      </c>
      <c r="J122" s="5">
        <f>208.25</f>
        <v>208.25</v>
      </c>
      <c r="K122" s="4"/>
      <c r="L122" s="4"/>
      <c r="M122" s="5">
        <f>64.05</f>
        <v>64.05</v>
      </c>
      <c r="N122" s="5">
        <f t="shared" si="24"/>
        <v>1727.6899999999998</v>
      </c>
    </row>
    <row r="123" spans="1:14" x14ac:dyDescent="0.55000000000000004">
      <c r="A123" s="3" t="s">
        <v>130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5">
        <f>38</f>
        <v>38</v>
      </c>
      <c r="N123" s="5">
        <f t="shared" si="24"/>
        <v>38</v>
      </c>
    </row>
    <row r="124" spans="1:14" x14ac:dyDescent="0.55000000000000004">
      <c r="A124" s="3" t="s">
        <v>131</v>
      </c>
      <c r="B124" s="4"/>
      <c r="C124" s="4"/>
      <c r="D124" s="5">
        <f>50</f>
        <v>50</v>
      </c>
      <c r="E124" s="5">
        <f>50</f>
        <v>50</v>
      </c>
      <c r="F124" s="5">
        <f>50</f>
        <v>50</v>
      </c>
      <c r="G124" s="5">
        <f>50</f>
        <v>50</v>
      </c>
      <c r="H124" s="5">
        <f>50</f>
        <v>50</v>
      </c>
      <c r="I124" s="5">
        <f>50</f>
        <v>50</v>
      </c>
      <c r="J124" s="5">
        <f>50</f>
        <v>50</v>
      </c>
      <c r="K124" s="5">
        <f>50</f>
        <v>50</v>
      </c>
      <c r="L124" s="5">
        <f>50</f>
        <v>50</v>
      </c>
      <c r="M124" s="5">
        <f>50</f>
        <v>50</v>
      </c>
      <c r="N124" s="5">
        <f t="shared" si="24"/>
        <v>500</v>
      </c>
    </row>
    <row r="125" spans="1:14" x14ac:dyDescent="0.55000000000000004">
      <c r="A125" s="3" t="s">
        <v>132</v>
      </c>
      <c r="B125" s="5">
        <f>77.02</f>
        <v>77.02</v>
      </c>
      <c r="C125" s="5">
        <f>72.65</f>
        <v>72.650000000000006</v>
      </c>
      <c r="D125" s="5">
        <f>93.11</f>
        <v>93.11</v>
      </c>
      <c r="E125" s="5">
        <f>72.65</f>
        <v>72.650000000000006</v>
      </c>
      <c r="F125" s="5">
        <f>79.47</f>
        <v>79.47</v>
      </c>
      <c r="G125" s="5">
        <f>68.28</f>
        <v>68.28</v>
      </c>
      <c r="H125" s="5">
        <f>926.44</f>
        <v>926.44</v>
      </c>
      <c r="I125" s="5">
        <f>92.86</f>
        <v>92.86</v>
      </c>
      <c r="J125" s="5">
        <f>97.23</f>
        <v>97.23</v>
      </c>
      <c r="K125" s="5">
        <f>337.23</f>
        <v>337.23</v>
      </c>
      <c r="L125" s="5">
        <f>97.23</f>
        <v>97.23</v>
      </c>
      <c r="M125" s="5">
        <f>97.23</f>
        <v>97.23</v>
      </c>
      <c r="N125" s="5">
        <f t="shared" si="24"/>
        <v>2111.4</v>
      </c>
    </row>
    <row r="126" spans="1:14" x14ac:dyDescent="0.55000000000000004">
      <c r="A126" s="3" t="s">
        <v>133</v>
      </c>
      <c r="B126" s="5">
        <f>3009.5</f>
        <v>3009.5</v>
      </c>
      <c r="C126" s="5">
        <f>9.5</f>
        <v>9.5</v>
      </c>
      <c r="D126" s="5">
        <f>9.5</f>
        <v>9.5</v>
      </c>
      <c r="E126" s="5">
        <f>66.55</f>
        <v>66.55</v>
      </c>
      <c r="F126" s="5">
        <f>159.5</f>
        <v>159.5</v>
      </c>
      <c r="G126" s="5">
        <f>9.5</f>
        <v>9.5</v>
      </c>
      <c r="H126" s="5">
        <f>9.5</f>
        <v>9.5</v>
      </c>
      <c r="I126" s="5">
        <f>9.5</f>
        <v>9.5</v>
      </c>
      <c r="J126" s="5">
        <f>59.44</f>
        <v>59.44</v>
      </c>
      <c r="K126" s="5">
        <f>9.5</f>
        <v>9.5</v>
      </c>
      <c r="L126" s="5">
        <f>9.5</f>
        <v>9.5</v>
      </c>
      <c r="M126" s="4"/>
      <c r="N126" s="5">
        <f t="shared" si="24"/>
        <v>3361.4900000000002</v>
      </c>
    </row>
    <row r="127" spans="1:14" x14ac:dyDescent="0.55000000000000004">
      <c r="A127" s="3" t="s">
        <v>134</v>
      </c>
      <c r="B127" s="4"/>
      <c r="C127" s="4"/>
      <c r="D127" s="5">
        <f>42.79</f>
        <v>42.79</v>
      </c>
      <c r="E127" s="4"/>
      <c r="F127" s="4"/>
      <c r="G127" s="4"/>
      <c r="H127" s="4"/>
      <c r="I127" s="4"/>
      <c r="J127" s="4"/>
      <c r="K127" s="4"/>
      <c r="L127" s="4"/>
      <c r="M127" s="4"/>
      <c r="N127" s="5">
        <f t="shared" si="24"/>
        <v>42.79</v>
      </c>
    </row>
    <row r="128" spans="1:14" x14ac:dyDescent="0.55000000000000004">
      <c r="A128" s="3" t="s">
        <v>135</v>
      </c>
      <c r="B128" s="5">
        <f>12.5</f>
        <v>12.5</v>
      </c>
      <c r="C128" s="4"/>
      <c r="D128" s="4"/>
      <c r="E128" s="5">
        <f>83.2</f>
        <v>83.2</v>
      </c>
      <c r="F128" s="5">
        <f>45</f>
        <v>45</v>
      </c>
      <c r="G128" s="5">
        <f>1307.08</f>
        <v>1307.08</v>
      </c>
      <c r="H128" s="5">
        <f>330.91</f>
        <v>330.91</v>
      </c>
      <c r="I128" s="5">
        <f>1429.36</f>
        <v>1429.36</v>
      </c>
      <c r="J128" s="5">
        <f>-901.8</f>
        <v>-901.8</v>
      </c>
      <c r="K128" s="4"/>
      <c r="L128" s="4"/>
      <c r="M128" s="4"/>
      <c r="N128" s="5">
        <f t="shared" si="24"/>
        <v>2306.25</v>
      </c>
    </row>
    <row r="129" spans="1:14" x14ac:dyDescent="0.55000000000000004">
      <c r="A129" s="3" t="s">
        <v>136</v>
      </c>
      <c r="B129" s="4"/>
      <c r="C129" s="4"/>
      <c r="D129" s="4"/>
      <c r="E129" s="4"/>
      <c r="F129" s="4"/>
      <c r="G129" s="4"/>
      <c r="H129" s="5">
        <f>100</f>
        <v>100</v>
      </c>
      <c r="I129" s="4"/>
      <c r="J129" s="4"/>
      <c r="K129" s="4"/>
      <c r="L129" s="4"/>
      <c r="M129" s="4"/>
      <c r="N129" s="5">
        <f t="shared" si="24"/>
        <v>100</v>
      </c>
    </row>
    <row r="130" spans="1:14" x14ac:dyDescent="0.55000000000000004">
      <c r="A130" s="3" t="s">
        <v>137</v>
      </c>
      <c r="B130" s="4"/>
      <c r="C130" s="4"/>
      <c r="D130" s="4"/>
      <c r="E130" s="4"/>
      <c r="F130" s="4"/>
      <c r="G130" s="4"/>
      <c r="H130" s="4"/>
      <c r="I130" s="4"/>
      <c r="J130" s="4"/>
      <c r="K130" s="5">
        <f>115.17</f>
        <v>115.17</v>
      </c>
      <c r="L130" s="5">
        <f>88.86</f>
        <v>88.86</v>
      </c>
      <c r="M130" s="4"/>
      <c r="N130" s="5">
        <f t="shared" si="24"/>
        <v>204.03</v>
      </c>
    </row>
    <row r="131" spans="1:14" x14ac:dyDescent="0.55000000000000004">
      <c r="A131" s="3" t="s">
        <v>138</v>
      </c>
      <c r="B131" s="6">
        <f t="shared" ref="B131:M131" si="26">((((((((((B120)+(B121))+(B122))+(B123))+(B124))+(B125))+(B126))+(B127))+(B128))+(B129))+(B130)</f>
        <v>3439.05</v>
      </c>
      <c r="C131" s="6">
        <f t="shared" si="26"/>
        <v>312.02999999999997</v>
      </c>
      <c r="D131" s="6">
        <f t="shared" si="26"/>
        <v>1076.3899999999999</v>
      </c>
      <c r="E131" s="6">
        <f t="shared" si="26"/>
        <v>529.07000000000005</v>
      </c>
      <c r="F131" s="6">
        <f t="shared" si="26"/>
        <v>792.33</v>
      </c>
      <c r="G131" s="6">
        <f t="shared" si="26"/>
        <v>1620.59</v>
      </c>
      <c r="H131" s="6">
        <f t="shared" si="26"/>
        <v>1526.17</v>
      </c>
      <c r="I131" s="6">
        <f t="shared" si="26"/>
        <v>2371.8599999999997</v>
      </c>
      <c r="J131" s="6">
        <f t="shared" si="26"/>
        <v>486.90000000000009</v>
      </c>
      <c r="K131" s="6">
        <f t="shared" si="26"/>
        <v>673.43</v>
      </c>
      <c r="L131" s="6">
        <f t="shared" si="26"/>
        <v>493.51</v>
      </c>
      <c r="M131" s="6">
        <f t="shared" si="26"/>
        <v>853.19999999999993</v>
      </c>
      <c r="N131" s="6">
        <f t="shared" si="24"/>
        <v>14174.529999999999</v>
      </c>
    </row>
    <row r="132" spans="1:14" x14ac:dyDescent="0.55000000000000004">
      <c r="A132" s="3" t="s">
        <v>139</v>
      </c>
      <c r="B132" s="6">
        <f t="shared" ref="B132:M132" si="27">(((((((((B109)+(B110))+(B111))+(B112))+(B115))+(B116))+(B117))+(B118))+(B119))+(B131)</f>
        <v>4097.13</v>
      </c>
      <c r="C132" s="6">
        <f t="shared" si="27"/>
        <v>1031.05</v>
      </c>
      <c r="D132" s="6">
        <f t="shared" si="27"/>
        <v>3210.6</v>
      </c>
      <c r="E132" s="6">
        <f t="shared" si="27"/>
        <v>1521.98</v>
      </c>
      <c r="F132" s="6">
        <f t="shared" si="27"/>
        <v>1452.0900000000001</v>
      </c>
      <c r="G132" s="6">
        <f t="shared" si="27"/>
        <v>2938.01</v>
      </c>
      <c r="H132" s="6">
        <f t="shared" si="27"/>
        <v>2851.6099999999997</v>
      </c>
      <c r="I132" s="6">
        <f t="shared" si="27"/>
        <v>3210.87</v>
      </c>
      <c r="J132" s="6">
        <f t="shared" si="27"/>
        <v>5156.8799999999992</v>
      </c>
      <c r="K132" s="6">
        <f t="shared" si="27"/>
        <v>2444.1799999999998</v>
      </c>
      <c r="L132" s="6">
        <f t="shared" si="27"/>
        <v>1504.67</v>
      </c>
      <c r="M132" s="6">
        <f t="shared" si="27"/>
        <v>2790.69</v>
      </c>
      <c r="N132" s="6">
        <f t="shared" si="24"/>
        <v>32209.759999999998</v>
      </c>
    </row>
    <row r="133" spans="1:14" x14ac:dyDescent="0.55000000000000004">
      <c r="A133" s="3" t="s">
        <v>140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>
        <f t="shared" si="24"/>
        <v>0</v>
      </c>
    </row>
    <row r="134" spans="1:14" x14ac:dyDescent="0.55000000000000004">
      <c r="A134" s="3" t="s">
        <v>141</v>
      </c>
      <c r="B134" s="4"/>
      <c r="C134" s="4"/>
      <c r="D134" s="4"/>
      <c r="E134" s="4"/>
      <c r="F134" s="4"/>
      <c r="G134" s="4"/>
      <c r="H134" s="5">
        <f>269.02</f>
        <v>269.02</v>
      </c>
      <c r="I134" s="4"/>
      <c r="J134" s="5">
        <f>423</f>
        <v>423</v>
      </c>
      <c r="K134" s="4"/>
      <c r="L134" s="4"/>
      <c r="M134" s="4"/>
      <c r="N134" s="5">
        <f t="shared" si="24"/>
        <v>692.02</v>
      </c>
    </row>
    <row r="135" spans="1:14" x14ac:dyDescent="0.55000000000000004">
      <c r="A135" s="3" t="s">
        <v>142</v>
      </c>
      <c r="B135" s="6">
        <f t="shared" ref="B135:M135" si="28">(B133)+(B134)</f>
        <v>0</v>
      </c>
      <c r="C135" s="6">
        <f t="shared" si="28"/>
        <v>0</v>
      </c>
      <c r="D135" s="6">
        <f t="shared" si="28"/>
        <v>0</v>
      </c>
      <c r="E135" s="6">
        <f t="shared" si="28"/>
        <v>0</v>
      </c>
      <c r="F135" s="6">
        <f t="shared" si="28"/>
        <v>0</v>
      </c>
      <c r="G135" s="6">
        <f t="shared" si="28"/>
        <v>0</v>
      </c>
      <c r="H135" s="6">
        <f t="shared" si="28"/>
        <v>269.02</v>
      </c>
      <c r="I135" s="6">
        <f t="shared" si="28"/>
        <v>0</v>
      </c>
      <c r="J135" s="6">
        <f t="shared" si="28"/>
        <v>423</v>
      </c>
      <c r="K135" s="6">
        <f t="shared" si="28"/>
        <v>0</v>
      </c>
      <c r="L135" s="6">
        <f t="shared" si="28"/>
        <v>0</v>
      </c>
      <c r="M135" s="6">
        <f t="shared" si="28"/>
        <v>0</v>
      </c>
      <c r="N135" s="6">
        <f t="shared" si="24"/>
        <v>692.02</v>
      </c>
    </row>
    <row r="136" spans="1:14" x14ac:dyDescent="0.55000000000000004">
      <c r="A136" s="3" t="s">
        <v>143</v>
      </c>
      <c r="B136" s="4"/>
      <c r="C136" s="4"/>
      <c r="D136" s="4"/>
      <c r="E136" s="4"/>
      <c r="F136" s="4"/>
      <c r="G136" s="4"/>
      <c r="H136" s="4"/>
      <c r="I136" s="4"/>
      <c r="J136" s="5">
        <f>765</f>
        <v>765</v>
      </c>
      <c r="K136" s="4"/>
      <c r="L136" s="4"/>
      <c r="M136" s="4"/>
      <c r="N136" s="5">
        <f t="shared" si="24"/>
        <v>765</v>
      </c>
    </row>
    <row r="137" spans="1:14" x14ac:dyDescent="0.55000000000000004">
      <c r="A137" s="3" t="s">
        <v>144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>
        <f t="shared" si="24"/>
        <v>0</v>
      </c>
    </row>
    <row r="138" spans="1:14" x14ac:dyDescent="0.55000000000000004">
      <c r="A138" s="3" t="s">
        <v>145</v>
      </c>
      <c r="B138" s="4"/>
      <c r="C138" s="5">
        <f>4131</f>
        <v>4131</v>
      </c>
      <c r="D138" s="4"/>
      <c r="E138" s="5">
        <f>25</f>
        <v>25</v>
      </c>
      <c r="F138" s="5">
        <f>4156</f>
        <v>4156</v>
      </c>
      <c r="G138" s="4"/>
      <c r="H138" s="5">
        <f>4156</f>
        <v>4156</v>
      </c>
      <c r="I138" s="4"/>
      <c r="J138" s="4"/>
      <c r="K138" s="5">
        <f>4156</f>
        <v>4156</v>
      </c>
      <c r="L138" s="4"/>
      <c r="M138" s="4"/>
      <c r="N138" s="5">
        <f t="shared" si="24"/>
        <v>16624</v>
      </c>
    </row>
    <row r="139" spans="1:14" x14ac:dyDescent="0.55000000000000004">
      <c r="A139" s="3" t="s">
        <v>146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>
        <f t="shared" si="24"/>
        <v>0</v>
      </c>
    </row>
    <row r="140" spans="1:14" x14ac:dyDescent="0.55000000000000004">
      <c r="A140" s="3" t="s">
        <v>147</v>
      </c>
      <c r="B140" s="5">
        <f>330.34</f>
        <v>330.34</v>
      </c>
      <c r="C140" s="5">
        <f>652.39</f>
        <v>652.39</v>
      </c>
      <c r="D140" s="5">
        <f>169.49</f>
        <v>169.49</v>
      </c>
      <c r="E140" s="5">
        <f>485.66</f>
        <v>485.66</v>
      </c>
      <c r="F140" s="5">
        <f>39.95</f>
        <v>39.950000000000003</v>
      </c>
      <c r="G140" s="5">
        <f>607.13</f>
        <v>607.13</v>
      </c>
      <c r="H140" s="5">
        <f>667.92</f>
        <v>667.92</v>
      </c>
      <c r="I140" s="5">
        <f>787.6</f>
        <v>787.6</v>
      </c>
      <c r="J140" s="5">
        <f>642.88</f>
        <v>642.88</v>
      </c>
      <c r="K140" s="5">
        <f>874.42</f>
        <v>874.42</v>
      </c>
      <c r="L140" s="5">
        <f>902.51</f>
        <v>902.51</v>
      </c>
      <c r="M140" s="5">
        <f>157.84</f>
        <v>157.84</v>
      </c>
      <c r="N140" s="5">
        <f t="shared" si="24"/>
        <v>6318.13</v>
      </c>
    </row>
    <row r="141" spans="1:14" x14ac:dyDescent="0.55000000000000004">
      <c r="A141" s="3" t="s">
        <v>148</v>
      </c>
      <c r="B141" s="5">
        <f>913.98</f>
        <v>913.98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5">
        <f>8000</f>
        <v>8000</v>
      </c>
      <c r="N141" s="5">
        <f t="shared" si="24"/>
        <v>8913.98</v>
      </c>
    </row>
    <row r="142" spans="1:14" x14ac:dyDescent="0.55000000000000004">
      <c r="A142" s="3" t="s">
        <v>149</v>
      </c>
      <c r="B142" s="6">
        <f t="shared" ref="B142:M142" si="29">((B139)+(B140))+(B141)</f>
        <v>1244.32</v>
      </c>
      <c r="C142" s="6">
        <f t="shared" si="29"/>
        <v>652.39</v>
      </c>
      <c r="D142" s="6">
        <f t="shared" si="29"/>
        <v>169.49</v>
      </c>
      <c r="E142" s="6">
        <f t="shared" si="29"/>
        <v>485.66</v>
      </c>
      <c r="F142" s="6">
        <f t="shared" si="29"/>
        <v>39.950000000000003</v>
      </c>
      <c r="G142" s="6">
        <f t="shared" si="29"/>
        <v>607.13</v>
      </c>
      <c r="H142" s="6">
        <f t="shared" si="29"/>
        <v>667.92</v>
      </c>
      <c r="I142" s="6">
        <f t="shared" si="29"/>
        <v>787.6</v>
      </c>
      <c r="J142" s="6">
        <f t="shared" si="29"/>
        <v>642.88</v>
      </c>
      <c r="K142" s="6">
        <f t="shared" si="29"/>
        <v>874.42</v>
      </c>
      <c r="L142" s="6">
        <f t="shared" si="29"/>
        <v>902.51</v>
      </c>
      <c r="M142" s="6">
        <f t="shared" si="29"/>
        <v>8157.84</v>
      </c>
      <c r="N142" s="6">
        <f t="shared" ref="N142:N158" si="30">(((((((((((B142)+(C142))+(D142))+(E142))+(F142))+(G142))+(H142))+(I142))+(J142))+(K142))+(L142))+(M142)</f>
        <v>15232.11</v>
      </c>
    </row>
    <row r="143" spans="1:14" x14ac:dyDescent="0.55000000000000004">
      <c r="A143" s="3" t="s">
        <v>150</v>
      </c>
      <c r="B143" s="5">
        <f>315.53</f>
        <v>315.52999999999997</v>
      </c>
      <c r="C143" s="5">
        <f>133.13</f>
        <v>133.13</v>
      </c>
      <c r="D143" s="5">
        <f>572.34</f>
        <v>572.34</v>
      </c>
      <c r="E143" s="4"/>
      <c r="F143" s="4"/>
      <c r="G143" s="5">
        <f>94.16</f>
        <v>94.16</v>
      </c>
      <c r="H143" s="5">
        <f>61.45</f>
        <v>61.45</v>
      </c>
      <c r="I143" s="4"/>
      <c r="J143" s="5">
        <f>73.56</f>
        <v>73.56</v>
      </c>
      <c r="K143" s="4"/>
      <c r="L143" s="5">
        <f>90.77</f>
        <v>90.77</v>
      </c>
      <c r="M143" s="5">
        <f>66.97</f>
        <v>66.97</v>
      </c>
      <c r="N143" s="5">
        <f t="shared" si="30"/>
        <v>1407.91</v>
      </c>
    </row>
    <row r="144" spans="1:14" x14ac:dyDescent="0.55000000000000004">
      <c r="A144" s="3" t="s">
        <v>151</v>
      </c>
      <c r="B144" s="5">
        <f>1232.92</f>
        <v>1232.92</v>
      </c>
      <c r="C144" s="5">
        <f>1616.92</f>
        <v>1616.92</v>
      </c>
      <c r="D144" s="5">
        <f>1745.58</f>
        <v>1745.58</v>
      </c>
      <c r="E144" s="5">
        <f>1407.13</f>
        <v>1407.13</v>
      </c>
      <c r="F144" s="5">
        <f>1532.78</f>
        <v>1532.78</v>
      </c>
      <c r="G144" s="5">
        <f>1024.51</f>
        <v>1024.51</v>
      </c>
      <c r="H144" s="5">
        <f>666.81</f>
        <v>666.81</v>
      </c>
      <c r="I144" s="5">
        <f>631.6</f>
        <v>631.6</v>
      </c>
      <c r="J144" s="5">
        <f>676.89</f>
        <v>676.89</v>
      </c>
      <c r="K144" s="5">
        <f>1030.57</f>
        <v>1030.57</v>
      </c>
      <c r="L144" s="5">
        <f>1134.23</f>
        <v>1134.23</v>
      </c>
      <c r="M144" s="5">
        <f>1558.51</f>
        <v>1558.51</v>
      </c>
      <c r="N144" s="5">
        <f t="shared" si="30"/>
        <v>14258.449999999999</v>
      </c>
    </row>
    <row r="145" spans="1:14" x14ac:dyDescent="0.55000000000000004">
      <c r="A145" s="3" t="s">
        <v>152</v>
      </c>
      <c r="B145" s="5">
        <f>85.38</f>
        <v>85.38</v>
      </c>
      <c r="C145" s="5">
        <f>23.98</f>
        <v>23.98</v>
      </c>
      <c r="D145" s="5">
        <f>86.48</f>
        <v>86.48</v>
      </c>
      <c r="E145" s="5">
        <f>86.48</f>
        <v>86.48</v>
      </c>
      <c r="F145" s="5">
        <f>86.48</f>
        <v>86.48</v>
      </c>
      <c r="G145" s="5">
        <f>86.48</f>
        <v>86.48</v>
      </c>
      <c r="H145" s="5">
        <f>15.32</f>
        <v>15.32</v>
      </c>
      <c r="I145" s="5">
        <f>157.64</f>
        <v>157.63999999999999</v>
      </c>
      <c r="J145" s="5">
        <f>109.49</f>
        <v>109.49</v>
      </c>
      <c r="K145" s="5">
        <f>54.75</f>
        <v>54.75</v>
      </c>
      <c r="L145" s="5">
        <f>54.75</f>
        <v>54.75</v>
      </c>
      <c r="M145" s="5">
        <f>54.75</f>
        <v>54.75</v>
      </c>
      <c r="N145" s="5">
        <f t="shared" si="30"/>
        <v>901.98</v>
      </c>
    </row>
    <row r="146" spans="1:14" x14ac:dyDescent="0.55000000000000004">
      <c r="A146" s="3" t="s">
        <v>153</v>
      </c>
      <c r="B146" s="5">
        <f>97.42</f>
        <v>97.42</v>
      </c>
      <c r="C146" s="5">
        <f>194.84</f>
        <v>194.84</v>
      </c>
      <c r="D146" s="5">
        <f>292.26</f>
        <v>292.26</v>
      </c>
      <c r="E146" s="5">
        <f>203.37</f>
        <v>203.37</v>
      </c>
      <c r="F146" s="5">
        <f>151.28</f>
        <v>151.28</v>
      </c>
      <c r="G146" s="5">
        <f>151.28</f>
        <v>151.28</v>
      </c>
      <c r="H146" s="5">
        <f>150.92</f>
        <v>150.91999999999999</v>
      </c>
      <c r="I146" s="5">
        <f>97.42</f>
        <v>97.42</v>
      </c>
      <c r="J146" s="5">
        <f>150.85</f>
        <v>150.85</v>
      </c>
      <c r="K146" s="5">
        <f>150.29</f>
        <v>150.29</v>
      </c>
      <c r="L146" s="5">
        <f>150.29</f>
        <v>150.29</v>
      </c>
      <c r="M146" s="5">
        <f>143.52</f>
        <v>143.52000000000001</v>
      </c>
      <c r="N146" s="5">
        <f t="shared" si="30"/>
        <v>1933.74</v>
      </c>
    </row>
    <row r="147" spans="1:14" x14ac:dyDescent="0.55000000000000004">
      <c r="A147" s="3" t="s">
        <v>154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>
        <f t="shared" si="30"/>
        <v>0</v>
      </c>
    </row>
    <row r="148" spans="1:14" x14ac:dyDescent="0.55000000000000004">
      <c r="A148" s="3" t="s">
        <v>155</v>
      </c>
      <c r="B148" s="5">
        <f>879.46</f>
        <v>879.46</v>
      </c>
      <c r="C148" s="5">
        <f>687.15</f>
        <v>687.15</v>
      </c>
      <c r="D148" s="5">
        <f>768.12</f>
        <v>768.12</v>
      </c>
      <c r="E148" s="5">
        <f>348.4</f>
        <v>348.4</v>
      </c>
      <c r="F148" s="5">
        <f>320.6</f>
        <v>320.60000000000002</v>
      </c>
      <c r="G148" s="5">
        <f>376.13</f>
        <v>376.13</v>
      </c>
      <c r="H148" s="5">
        <f>426.86</f>
        <v>426.86</v>
      </c>
      <c r="I148" s="5">
        <f>427.68</f>
        <v>427.68</v>
      </c>
      <c r="J148" s="5">
        <f>319.83</f>
        <v>319.83</v>
      </c>
      <c r="K148" s="5">
        <f>334.82</f>
        <v>334.82</v>
      </c>
      <c r="L148" s="5">
        <f>443.1</f>
        <v>443.1</v>
      </c>
      <c r="M148" s="5">
        <f>691.67</f>
        <v>691.67</v>
      </c>
      <c r="N148" s="5">
        <f t="shared" si="30"/>
        <v>6023.8200000000006</v>
      </c>
    </row>
    <row r="149" spans="1:14" x14ac:dyDescent="0.55000000000000004">
      <c r="A149" s="3" t="s">
        <v>156</v>
      </c>
      <c r="B149" s="6">
        <f t="shared" ref="B149:M149" si="31">(B147)+(B148)</f>
        <v>879.46</v>
      </c>
      <c r="C149" s="6">
        <f t="shared" si="31"/>
        <v>687.15</v>
      </c>
      <c r="D149" s="6">
        <f t="shared" si="31"/>
        <v>768.12</v>
      </c>
      <c r="E149" s="6">
        <f t="shared" si="31"/>
        <v>348.4</v>
      </c>
      <c r="F149" s="6">
        <f t="shared" si="31"/>
        <v>320.60000000000002</v>
      </c>
      <c r="G149" s="6">
        <f t="shared" si="31"/>
        <v>376.13</v>
      </c>
      <c r="H149" s="6">
        <f t="shared" si="31"/>
        <v>426.86</v>
      </c>
      <c r="I149" s="6">
        <f t="shared" si="31"/>
        <v>427.68</v>
      </c>
      <c r="J149" s="6">
        <f t="shared" si="31"/>
        <v>319.83</v>
      </c>
      <c r="K149" s="6">
        <f t="shared" si="31"/>
        <v>334.82</v>
      </c>
      <c r="L149" s="6">
        <f t="shared" si="31"/>
        <v>443.1</v>
      </c>
      <c r="M149" s="6">
        <f t="shared" si="31"/>
        <v>691.67</v>
      </c>
      <c r="N149" s="6">
        <f t="shared" si="30"/>
        <v>6023.8200000000006</v>
      </c>
    </row>
    <row r="150" spans="1:14" x14ac:dyDescent="0.55000000000000004">
      <c r="A150" s="3" t="s">
        <v>157</v>
      </c>
      <c r="B150" s="5">
        <f>69</f>
        <v>69</v>
      </c>
      <c r="C150" s="4"/>
      <c r="D150" s="4"/>
      <c r="E150" s="4"/>
      <c r="F150" s="5">
        <f>69</f>
        <v>69</v>
      </c>
      <c r="G150" s="4"/>
      <c r="H150" s="5">
        <f>69</f>
        <v>69</v>
      </c>
      <c r="I150" s="4"/>
      <c r="J150" s="4"/>
      <c r="K150" s="5">
        <f>69</f>
        <v>69</v>
      </c>
      <c r="L150" s="4"/>
      <c r="M150" s="4"/>
      <c r="N150" s="5">
        <f t="shared" si="30"/>
        <v>276</v>
      </c>
    </row>
    <row r="151" spans="1:14" x14ac:dyDescent="0.55000000000000004">
      <c r="A151" s="3" t="s">
        <v>158</v>
      </c>
      <c r="B151" s="5">
        <f>115.96</f>
        <v>115.96</v>
      </c>
      <c r="C151" s="5">
        <f>146.9</f>
        <v>146.9</v>
      </c>
      <c r="D151" s="5">
        <f>122.73</f>
        <v>122.73</v>
      </c>
      <c r="E151" s="5">
        <f>98.53</f>
        <v>98.53</v>
      </c>
      <c r="F151" s="5">
        <f>109.47</f>
        <v>109.47</v>
      </c>
      <c r="G151" s="5">
        <f>237.58</f>
        <v>237.58</v>
      </c>
      <c r="H151" s="5">
        <f>96.03</f>
        <v>96.03</v>
      </c>
      <c r="I151" s="5">
        <f>86.16</f>
        <v>86.16</v>
      </c>
      <c r="J151" s="5">
        <f>76.08</f>
        <v>76.08</v>
      </c>
      <c r="K151" s="5">
        <f>122.59</f>
        <v>122.59</v>
      </c>
      <c r="L151" s="5">
        <f>104.76</f>
        <v>104.76</v>
      </c>
      <c r="M151" s="4"/>
      <c r="N151" s="5">
        <f t="shared" si="30"/>
        <v>1316.79</v>
      </c>
    </row>
    <row r="152" spans="1:14" x14ac:dyDescent="0.55000000000000004">
      <c r="A152" s="3" t="s">
        <v>159</v>
      </c>
      <c r="B152" s="5">
        <f>85</f>
        <v>85</v>
      </c>
      <c r="C152" s="4"/>
      <c r="D152" s="5">
        <f>170</f>
        <v>170</v>
      </c>
      <c r="E152" s="5">
        <f>85</f>
        <v>85</v>
      </c>
      <c r="F152" s="5">
        <f>85</f>
        <v>85</v>
      </c>
      <c r="G152" s="5">
        <f>85</f>
        <v>85</v>
      </c>
      <c r="H152" s="5">
        <f>85</f>
        <v>85</v>
      </c>
      <c r="I152" s="5">
        <f>85</f>
        <v>85</v>
      </c>
      <c r="J152" s="5">
        <f>85</f>
        <v>85</v>
      </c>
      <c r="K152" s="5">
        <f>0</f>
        <v>0</v>
      </c>
      <c r="L152" s="5">
        <f>85</f>
        <v>85</v>
      </c>
      <c r="M152" s="5">
        <f>85</f>
        <v>85</v>
      </c>
      <c r="N152" s="5">
        <f t="shared" si="30"/>
        <v>935</v>
      </c>
    </row>
    <row r="153" spans="1:14" x14ac:dyDescent="0.55000000000000004">
      <c r="A153" s="3" t="s">
        <v>160</v>
      </c>
      <c r="B153" s="5">
        <f>55.56</f>
        <v>55.56</v>
      </c>
      <c r="C153" s="5">
        <f>87.01</f>
        <v>87.01</v>
      </c>
      <c r="D153" s="5">
        <f>88.1</f>
        <v>88.1</v>
      </c>
      <c r="E153" s="5">
        <f>179.38</f>
        <v>179.38</v>
      </c>
      <c r="F153" s="5">
        <f>89.69</f>
        <v>89.69</v>
      </c>
      <c r="G153" s="5">
        <f>90.21</f>
        <v>90.21</v>
      </c>
      <c r="H153" s="5">
        <f>90.47</f>
        <v>90.47</v>
      </c>
      <c r="I153" s="5">
        <f>90.62</f>
        <v>90.62</v>
      </c>
      <c r="J153" s="5">
        <f>90.62</f>
        <v>90.62</v>
      </c>
      <c r="K153" s="5">
        <f>96.34</f>
        <v>96.34</v>
      </c>
      <c r="L153" s="5">
        <f>97.09</f>
        <v>97.09</v>
      </c>
      <c r="M153" s="5">
        <f>97.09</f>
        <v>97.09</v>
      </c>
      <c r="N153" s="5">
        <f t="shared" si="30"/>
        <v>1152.1799999999998</v>
      </c>
    </row>
    <row r="154" spans="1:14" x14ac:dyDescent="0.55000000000000004">
      <c r="A154" s="3" t="s">
        <v>161</v>
      </c>
      <c r="B154" s="5">
        <f>32.64</f>
        <v>32.64</v>
      </c>
      <c r="C154" s="4"/>
      <c r="D154" s="4"/>
      <c r="E154" s="5">
        <f>13.15</f>
        <v>13.15</v>
      </c>
      <c r="F154" s="5">
        <f>78.32</f>
        <v>78.319999999999993</v>
      </c>
      <c r="G154" s="5">
        <f>19.97</f>
        <v>19.97</v>
      </c>
      <c r="H154" s="5">
        <f>27.43</f>
        <v>27.43</v>
      </c>
      <c r="I154" s="5">
        <f>32</f>
        <v>32</v>
      </c>
      <c r="J154" s="5">
        <f>21.91</f>
        <v>21.91</v>
      </c>
      <c r="K154" s="5">
        <f>196.74</f>
        <v>196.74</v>
      </c>
      <c r="L154" s="4"/>
      <c r="M154" s="5">
        <f>9.6</f>
        <v>9.6</v>
      </c>
      <c r="N154" s="5">
        <f t="shared" si="30"/>
        <v>431.76</v>
      </c>
    </row>
    <row r="155" spans="1:14" x14ac:dyDescent="0.55000000000000004">
      <c r="A155" s="3" t="s">
        <v>162</v>
      </c>
      <c r="B155" s="6">
        <f t="shared" ref="B155:M155" si="32">((((((((((((B137)+(B138))+(B142))+(B143))+(B144))+(B145))+(B146))+(B149))+(B150))+(B151))+(B152))+(B153))+(B154)</f>
        <v>4213.1900000000005</v>
      </c>
      <c r="C155" s="6">
        <f t="shared" si="32"/>
        <v>7673.32</v>
      </c>
      <c r="D155" s="6">
        <f t="shared" si="32"/>
        <v>4015.0999999999995</v>
      </c>
      <c r="E155" s="6">
        <f t="shared" si="32"/>
        <v>2932.1000000000008</v>
      </c>
      <c r="F155" s="6">
        <f t="shared" si="32"/>
        <v>6718.5699999999988</v>
      </c>
      <c r="G155" s="6">
        <f t="shared" si="32"/>
        <v>2772.45</v>
      </c>
      <c r="H155" s="6">
        <f t="shared" si="32"/>
        <v>6513.21</v>
      </c>
      <c r="I155" s="6">
        <f t="shared" si="32"/>
        <v>2395.7199999999998</v>
      </c>
      <c r="J155" s="6">
        <f t="shared" si="32"/>
        <v>2247.1099999999997</v>
      </c>
      <c r="K155" s="6">
        <f t="shared" si="32"/>
        <v>7085.5199999999995</v>
      </c>
      <c r="L155" s="6">
        <f t="shared" si="32"/>
        <v>3062.5000000000005</v>
      </c>
      <c r="M155" s="6">
        <f t="shared" si="32"/>
        <v>10864.95</v>
      </c>
      <c r="N155" s="6">
        <f t="shared" si="30"/>
        <v>60493.740000000005</v>
      </c>
    </row>
    <row r="156" spans="1:14" x14ac:dyDescent="0.55000000000000004">
      <c r="A156" s="3" t="s">
        <v>163</v>
      </c>
      <c r="B156" s="6">
        <f t="shared" ref="B156:M156" si="33">((((((B49)+(B99))+(B108))+(B132))+(B135))+(B136))+(B155)</f>
        <v>37797.280000000006</v>
      </c>
      <c r="C156" s="6">
        <f t="shared" si="33"/>
        <v>36763.979999999996</v>
      </c>
      <c r="D156" s="6">
        <f t="shared" si="33"/>
        <v>53946.02</v>
      </c>
      <c r="E156" s="6">
        <f t="shared" si="33"/>
        <v>31262.070000000003</v>
      </c>
      <c r="F156" s="6">
        <f t="shared" si="33"/>
        <v>37357.919999999998</v>
      </c>
      <c r="G156" s="6">
        <f t="shared" si="33"/>
        <v>36829.269999999997</v>
      </c>
      <c r="H156" s="6">
        <f t="shared" si="33"/>
        <v>45353.899999999994</v>
      </c>
      <c r="I156" s="6">
        <f t="shared" si="33"/>
        <v>36634.630000000005</v>
      </c>
      <c r="J156" s="6">
        <f t="shared" si="33"/>
        <v>68319.680000000008</v>
      </c>
      <c r="K156" s="6">
        <f t="shared" si="33"/>
        <v>46444.1</v>
      </c>
      <c r="L156" s="6">
        <f t="shared" si="33"/>
        <v>35678.57</v>
      </c>
      <c r="M156" s="6">
        <f t="shared" si="33"/>
        <v>46334.84</v>
      </c>
      <c r="N156" s="6">
        <f t="shared" si="30"/>
        <v>512722.26</v>
      </c>
    </row>
    <row r="157" spans="1:14" x14ac:dyDescent="0.55000000000000004">
      <c r="A157" s="3" t="s">
        <v>164</v>
      </c>
      <c r="B157" s="6">
        <f t="shared" ref="B157:M157" si="34">(B44)-(B156)</f>
        <v>-13938.470000000005</v>
      </c>
      <c r="C157" s="6">
        <f t="shared" si="34"/>
        <v>-9837.2599999999948</v>
      </c>
      <c r="D157" s="6">
        <f t="shared" si="34"/>
        <v>-18686.510000000002</v>
      </c>
      <c r="E157" s="6">
        <f t="shared" si="34"/>
        <v>1388.0000000000036</v>
      </c>
      <c r="F157" s="6">
        <f t="shared" si="34"/>
        <v>2629.5200000000041</v>
      </c>
      <c r="G157" s="6">
        <f t="shared" si="34"/>
        <v>8241.7099999999991</v>
      </c>
      <c r="H157" s="6">
        <f t="shared" si="34"/>
        <v>10623.670000000013</v>
      </c>
      <c r="I157" s="6">
        <f t="shared" si="34"/>
        <v>-10208.000000000004</v>
      </c>
      <c r="J157" s="6">
        <f t="shared" si="34"/>
        <v>86381.42</v>
      </c>
      <c r="K157" s="6">
        <f t="shared" si="34"/>
        <v>16459.97</v>
      </c>
      <c r="L157" s="6">
        <f t="shared" si="34"/>
        <v>1237.8199999999997</v>
      </c>
      <c r="M157" s="6">
        <f t="shared" si="34"/>
        <v>61370.560000000012</v>
      </c>
      <c r="N157" s="6">
        <f t="shared" si="30"/>
        <v>135662.43</v>
      </c>
    </row>
    <row r="158" spans="1:14" x14ac:dyDescent="0.55000000000000004">
      <c r="A158" s="3" t="s">
        <v>165</v>
      </c>
      <c r="B158" s="7">
        <f t="shared" ref="B158:M158" si="35">(B157)+(0)</f>
        <v>-13938.470000000005</v>
      </c>
      <c r="C158" s="7">
        <f t="shared" si="35"/>
        <v>-9837.2599999999948</v>
      </c>
      <c r="D158" s="7">
        <f t="shared" si="35"/>
        <v>-18686.510000000002</v>
      </c>
      <c r="E158" s="7">
        <f t="shared" si="35"/>
        <v>1388.0000000000036</v>
      </c>
      <c r="F158" s="7">
        <f t="shared" si="35"/>
        <v>2629.5200000000041</v>
      </c>
      <c r="G158" s="7">
        <f t="shared" si="35"/>
        <v>8241.7099999999991</v>
      </c>
      <c r="H158" s="7">
        <f t="shared" si="35"/>
        <v>10623.670000000013</v>
      </c>
      <c r="I158" s="7">
        <f t="shared" si="35"/>
        <v>-10208.000000000004</v>
      </c>
      <c r="J158" s="7">
        <f t="shared" si="35"/>
        <v>86381.42</v>
      </c>
      <c r="K158" s="7">
        <f t="shared" si="35"/>
        <v>16459.97</v>
      </c>
      <c r="L158" s="7">
        <f t="shared" si="35"/>
        <v>1237.8199999999997</v>
      </c>
      <c r="M158" s="7">
        <f t="shared" si="35"/>
        <v>61370.560000000012</v>
      </c>
      <c r="N158" s="7">
        <f t="shared" si="30"/>
        <v>135662.43</v>
      </c>
    </row>
    <row r="159" spans="1:14" x14ac:dyDescent="0.55000000000000004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2" spans="1:14" x14ac:dyDescent="0.55000000000000004">
      <c r="A162" s="8" t="s">
        <v>166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</sheetData>
  <mergeCells count="4">
    <mergeCell ref="A162:N162"/>
    <mergeCell ref="A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dcterms:created xsi:type="dcterms:W3CDTF">2022-01-11T01:50:53Z</dcterms:created>
  <dcterms:modified xsi:type="dcterms:W3CDTF">2022-01-11T20:26:58Z</dcterms:modified>
</cp:coreProperties>
</file>