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wardstars-my.sharepoint.com/personal/lakridge_starsbasketballclub_com/Documents/STARS/CPA - ACCOUNTING - BUDGETS - 501c3/BUDGETS/2022/"/>
    </mc:Choice>
  </mc:AlternateContent>
  <xr:revisionPtr revIDLastSave="0" documentId="14_{13E65CAA-E41D-480B-90EE-4BC9262C38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vs. Actu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3" i="1" l="1"/>
  <c r="D103" i="1"/>
  <c r="E103" i="1"/>
  <c r="F103" i="1"/>
  <c r="B103" i="1"/>
  <c r="C100" i="1"/>
  <c r="D100" i="1"/>
  <c r="E100" i="1"/>
  <c r="I100" i="1"/>
  <c r="B100" i="1"/>
  <c r="C96" i="1"/>
  <c r="D96" i="1"/>
  <c r="E96" i="1"/>
  <c r="B96" i="1"/>
  <c r="C91" i="1"/>
  <c r="D91" i="1"/>
  <c r="E91" i="1"/>
  <c r="B91" i="1"/>
  <c r="N90" i="1"/>
  <c r="C82" i="1"/>
  <c r="D82" i="1"/>
  <c r="E82" i="1"/>
  <c r="B82" i="1"/>
  <c r="N70" i="1"/>
  <c r="C74" i="1"/>
  <c r="D74" i="1"/>
  <c r="E74" i="1"/>
  <c r="B74" i="1"/>
  <c r="B68" i="1"/>
  <c r="C68" i="1"/>
  <c r="C115" i="1" s="1"/>
  <c r="D68" i="1"/>
  <c r="D115" i="1" s="1"/>
  <c r="E68" i="1"/>
  <c r="E115" i="1" s="1"/>
  <c r="N53" i="1"/>
  <c r="N54" i="1"/>
  <c r="C57" i="1"/>
  <c r="D57" i="1"/>
  <c r="E57" i="1"/>
  <c r="B57" i="1"/>
  <c r="C43" i="1"/>
  <c r="D43" i="1"/>
  <c r="E43" i="1"/>
  <c r="B43" i="1"/>
  <c r="C35" i="1"/>
  <c r="D35" i="1"/>
  <c r="E35" i="1"/>
  <c r="B35" i="1"/>
  <c r="C25" i="1"/>
  <c r="D25" i="1"/>
  <c r="E25" i="1"/>
  <c r="B25" i="1"/>
  <c r="C15" i="1"/>
  <c r="D15" i="1"/>
  <c r="D44" i="1" s="1"/>
  <c r="D58" i="1" s="1"/>
  <c r="E15" i="1"/>
  <c r="E44" i="1" s="1"/>
  <c r="E58" i="1" s="1"/>
  <c r="B15" i="1"/>
  <c r="N64" i="1"/>
  <c r="L114" i="1"/>
  <c r="N114" i="1" s="1"/>
  <c r="M113" i="1"/>
  <c r="K113" i="1"/>
  <c r="J113" i="1"/>
  <c r="I113" i="1"/>
  <c r="H113" i="1"/>
  <c r="G113" i="1"/>
  <c r="F113" i="1"/>
  <c r="M112" i="1"/>
  <c r="L112" i="1"/>
  <c r="K112" i="1"/>
  <c r="J112" i="1"/>
  <c r="I112" i="1"/>
  <c r="H112" i="1"/>
  <c r="G112" i="1"/>
  <c r="F112" i="1"/>
  <c r="I111" i="1"/>
  <c r="H111" i="1"/>
  <c r="F111" i="1"/>
  <c r="N111" i="1" s="1"/>
  <c r="M110" i="1"/>
  <c r="L110" i="1"/>
  <c r="K110" i="1"/>
  <c r="J110" i="1"/>
  <c r="I110" i="1"/>
  <c r="H110" i="1"/>
  <c r="G110" i="1"/>
  <c r="F110" i="1"/>
  <c r="N110" i="1" s="1"/>
  <c r="M109" i="1"/>
  <c r="L109" i="1"/>
  <c r="K109" i="1"/>
  <c r="J109" i="1"/>
  <c r="I109" i="1"/>
  <c r="H109" i="1"/>
  <c r="G109" i="1"/>
  <c r="F109" i="1"/>
  <c r="N109" i="1" s="1"/>
  <c r="M108" i="1"/>
  <c r="L108" i="1"/>
  <c r="K108" i="1"/>
  <c r="J108" i="1"/>
  <c r="I108" i="1"/>
  <c r="H108" i="1"/>
  <c r="G108" i="1"/>
  <c r="F108" i="1"/>
  <c r="N108" i="1" s="1"/>
  <c r="M107" i="1"/>
  <c r="L107" i="1"/>
  <c r="K107" i="1"/>
  <c r="J107" i="1"/>
  <c r="I107" i="1"/>
  <c r="H107" i="1"/>
  <c r="G107" i="1"/>
  <c r="F107" i="1"/>
  <c r="M106" i="1"/>
  <c r="L106" i="1"/>
  <c r="K106" i="1"/>
  <c r="J106" i="1"/>
  <c r="I106" i="1"/>
  <c r="H106" i="1"/>
  <c r="G106" i="1"/>
  <c r="F106" i="1"/>
  <c r="N106" i="1" s="1"/>
  <c r="M105" i="1"/>
  <c r="L105" i="1"/>
  <c r="K105" i="1"/>
  <c r="J105" i="1"/>
  <c r="G105" i="1"/>
  <c r="M104" i="1"/>
  <c r="L104" i="1"/>
  <c r="K104" i="1"/>
  <c r="J104" i="1"/>
  <c r="I104" i="1"/>
  <c r="H104" i="1"/>
  <c r="G104" i="1"/>
  <c r="F104" i="1"/>
  <c r="M102" i="1"/>
  <c r="L102" i="1"/>
  <c r="K102" i="1"/>
  <c r="J102" i="1"/>
  <c r="H102" i="1"/>
  <c r="G102" i="1"/>
  <c r="F102" i="1"/>
  <c r="M101" i="1"/>
  <c r="M103" i="1" s="1"/>
  <c r="L101" i="1"/>
  <c r="L103" i="1" s="1"/>
  <c r="K101" i="1"/>
  <c r="J101" i="1"/>
  <c r="J103" i="1" s="1"/>
  <c r="I101" i="1"/>
  <c r="I103" i="1" s="1"/>
  <c r="H101" i="1"/>
  <c r="H103" i="1" s="1"/>
  <c r="G101" i="1"/>
  <c r="G103" i="1" s="1"/>
  <c r="F101" i="1"/>
  <c r="M99" i="1"/>
  <c r="L99" i="1"/>
  <c r="K99" i="1"/>
  <c r="J99" i="1"/>
  <c r="I99" i="1"/>
  <c r="H99" i="1"/>
  <c r="G99" i="1"/>
  <c r="F99" i="1"/>
  <c r="M98" i="1"/>
  <c r="M100" i="1" s="1"/>
  <c r="L98" i="1"/>
  <c r="L100" i="1" s="1"/>
  <c r="K98" i="1"/>
  <c r="K100" i="1" s="1"/>
  <c r="J98" i="1"/>
  <c r="J100" i="1" s="1"/>
  <c r="I98" i="1"/>
  <c r="H98" i="1"/>
  <c r="H100" i="1" s="1"/>
  <c r="G98" i="1"/>
  <c r="G100" i="1" s="1"/>
  <c r="F98" i="1"/>
  <c r="M95" i="1"/>
  <c r="L95" i="1"/>
  <c r="K95" i="1"/>
  <c r="J95" i="1"/>
  <c r="I95" i="1"/>
  <c r="H95" i="1"/>
  <c r="G95" i="1"/>
  <c r="F95" i="1"/>
  <c r="M94" i="1"/>
  <c r="L94" i="1"/>
  <c r="K94" i="1"/>
  <c r="J94" i="1"/>
  <c r="I94" i="1"/>
  <c r="H94" i="1"/>
  <c r="G94" i="1"/>
  <c r="F94" i="1"/>
  <c r="M93" i="1"/>
  <c r="M96" i="1" s="1"/>
  <c r="L93" i="1"/>
  <c r="L96" i="1" s="1"/>
  <c r="K93" i="1"/>
  <c r="K96" i="1" s="1"/>
  <c r="J93" i="1"/>
  <c r="J96" i="1" s="1"/>
  <c r="I93" i="1"/>
  <c r="I96" i="1" s="1"/>
  <c r="H93" i="1"/>
  <c r="H96" i="1" s="1"/>
  <c r="G93" i="1"/>
  <c r="G96" i="1" s="1"/>
  <c r="F93" i="1"/>
  <c r="F96" i="1" s="1"/>
  <c r="M89" i="1"/>
  <c r="M91" i="1" s="1"/>
  <c r="L89" i="1"/>
  <c r="L91" i="1" s="1"/>
  <c r="K89" i="1"/>
  <c r="K91" i="1" s="1"/>
  <c r="J89" i="1"/>
  <c r="J91" i="1" s="1"/>
  <c r="I89" i="1"/>
  <c r="I91" i="1" s="1"/>
  <c r="H89" i="1"/>
  <c r="H91" i="1" s="1"/>
  <c r="G89" i="1"/>
  <c r="G91" i="1" s="1"/>
  <c r="F89" i="1"/>
  <c r="M88" i="1"/>
  <c r="L88" i="1"/>
  <c r="K88" i="1"/>
  <c r="J88" i="1"/>
  <c r="I88" i="1"/>
  <c r="H88" i="1"/>
  <c r="G88" i="1"/>
  <c r="F88" i="1"/>
  <c r="M87" i="1"/>
  <c r="L87" i="1"/>
  <c r="K87" i="1"/>
  <c r="J87" i="1"/>
  <c r="I87" i="1"/>
  <c r="H87" i="1"/>
  <c r="G87" i="1"/>
  <c r="F87" i="1"/>
  <c r="M86" i="1"/>
  <c r="L86" i="1"/>
  <c r="K86" i="1"/>
  <c r="J86" i="1"/>
  <c r="I86" i="1"/>
  <c r="H86" i="1"/>
  <c r="G86" i="1"/>
  <c r="F86" i="1"/>
  <c r="M85" i="1"/>
  <c r="L85" i="1"/>
  <c r="J85" i="1"/>
  <c r="G85" i="1"/>
  <c r="F85" i="1"/>
  <c r="H84" i="1"/>
  <c r="N84" i="1" s="1"/>
  <c r="K83" i="1"/>
  <c r="H83" i="1"/>
  <c r="N83" i="1" s="1"/>
  <c r="J81" i="1"/>
  <c r="I81" i="1"/>
  <c r="H81" i="1"/>
  <c r="G81" i="1"/>
  <c r="N81" i="1" s="1"/>
  <c r="K80" i="1"/>
  <c r="J80" i="1"/>
  <c r="J82" i="1" s="1"/>
  <c r="I80" i="1"/>
  <c r="H80" i="1"/>
  <c r="G80" i="1"/>
  <c r="M79" i="1"/>
  <c r="M82" i="1" s="1"/>
  <c r="L79" i="1"/>
  <c r="L82" i="1" s="1"/>
  <c r="K79" i="1"/>
  <c r="K82" i="1" s="1"/>
  <c r="J79" i="1"/>
  <c r="I79" i="1"/>
  <c r="I82" i="1" s="1"/>
  <c r="H79" i="1"/>
  <c r="H82" i="1" s="1"/>
  <c r="G79" i="1"/>
  <c r="F79" i="1"/>
  <c r="F82" i="1" s="1"/>
  <c r="M77" i="1"/>
  <c r="K77" i="1"/>
  <c r="J77" i="1"/>
  <c r="G77" i="1"/>
  <c r="M76" i="1"/>
  <c r="L76" i="1"/>
  <c r="K76" i="1"/>
  <c r="J76" i="1"/>
  <c r="I76" i="1"/>
  <c r="H76" i="1"/>
  <c r="G76" i="1"/>
  <c r="F76" i="1"/>
  <c r="M75" i="1"/>
  <c r="L75" i="1"/>
  <c r="K75" i="1"/>
  <c r="J75" i="1"/>
  <c r="I75" i="1"/>
  <c r="H75" i="1"/>
  <c r="G75" i="1"/>
  <c r="F75" i="1"/>
  <c r="M73" i="1"/>
  <c r="M74" i="1" s="1"/>
  <c r="L73" i="1"/>
  <c r="L74" i="1" s="1"/>
  <c r="K73" i="1"/>
  <c r="J73" i="1"/>
  <c r="I73" i="1"/>
  <c r="H73" i="1"/>
  <c r="K72" i="1"/>
  <c r="K74" i="1" s="1"/>
  <c r="J72" i="1"/>
  <c r="I72" i="1"/>
  <c r="I74" i="1" s="1"/>
  <c r="H72" i="1"/>
  <c r="H74" i="1" s="1"/>
  <c r="G72" i="1"/>
  <c r="G74" i="1" s="1"/>
  <c r="F72" i="1"/>
  <c r="M71" i="1"/>
  <c r="K71" i="1"/>
  <c r="I71" i="1"/>
  <c r="H71" i="1"/>
  <c r="G71" i="1"/>
  <c r="F71" i="1"/>
  <c r="F69" i="1"/>
  <c r="N69" i="1" s="1"/>
  <c r="K67" i="1"/>
  <c r="N67" i="1" s="1"/>
  <c r="M66" i="1"/>
  <c r="L66" i="1"/>
  <c r="K66" i="1"/>
  <c r="J66" i="1"/>
  <c r="M65" i="1"/>
  <c r="L65" i="1"/>
  <c r="K65" i="1"/>
  <c r="J65" i="1"/>
  <c r="I65" i="1"/>
  <c r="H65" i="1"/>
  <c r="M63" i="1"/>
  <c r="L63" i="1"/>
  <c r="K63" i="1"/>
  <c r="J63" i="1"/>
  <c r="I63" i="1"/>
  <c r="H63" i="1"/>
  <c r="G63" i="1"/>
  <c r="F63" i="1"/>
  <c r="M62" i="1"/>
  <c r="M68" i="1" s="1"/>
  <c r="L62" i="1"/>
  <c r="K62" i="1"/>
  <c r="J62" i="1"/>
  <c r="I62" i="1"/>
  <c r="I68" i="1" s="1"/>
  <c r="H62" i="1"/>
  <c r="H68" i="1" s="1"/>
  <c r="H115" i="1" s="1"/>
  <c r="G62" i="1"/>
  <c r="G68" i="1" s="1"/>
  <c r="F62" i="1"/>
  <c r="L61" i="1"/>
  <c r="L68" i="1" s="1"/>
  <c r="K61" i="1"/>
  <c r="M60" i="1"/>
  <c r="J60" i="1"/>
  <c r="G60" i="1"/>
  <c r="F60" i="1"/>
  <c r="K56" i="1"/>
  <c r="J56" i="1"/>
  <c r="I56" i="1"/>
  <c r="H56" i="1"/>
  <c r="M55" i="1"/>
  <c r="L55" i="1"/>
  <c r="K55" i="1"/>
  <c r="J55" i="1"/>
  <c r="I55" i="1"/>
  <c r="H55" i="1"/>
  <c r="G55" i="1"/>
  <c r="M52" i="1"/>
  <c r="N52" i="1" s="1"/>
  <c r="L51" i="1"/>
  <c r="K51" i="1"/>
  <c r="J50" i="1"/>
  <c r="G50" i="1"/>
  <c r="F50" i="1"/>
  <c r="F49" i="1"/>
  <c r="N49" i="1" s="1"/>
  <c r="K48" i="1"/>
  <c r="I48" i="1"/>
  <c r="H48" i="1"/>
  <c r="G48" i="1"/>
  <c r="F48" i="1"/>
  <c r="M47" i="1"/>
  <c r="L47" i="1"/>
  <c r="K47" i="1"/>
  <c r="J47" i="1"/>
  <c r="J57" i="1" s="1"/>
  <c r="I47" i="1"/>
  <c r="J42" i="1"/>
  <c r="I42" i="1"/>
  <c r="M41" i="1"/>
  <c r="L40" i="1"/>
  <c r="J40" i="1"/>
  <c r="I40" i="1"/>
  <c r="F40" i="1"/>
  <c r="N40" i="1" s="1"/>
  <c r="M39" i="1"/>
  <c r="H39" i="1"/>
  <c r="N39" i="1" s="1"/>
  <c r="M38" i="1"/>
  <c r="L38" i="1"/>
  <c r="K38" i="1"/>
  <c r="J38" i="1"/>
  <c r="I38" i="1"/>
  <c r="H38" i="1"/>
  <c r="G38" i="1"/>
  <c r="G43" i="1" s="1"/>
  <c r="M37" i="1"/>
  <c r="L37" i="1"/>
  <c r="K37" i="1"/>
  <c r="J37" i="1"/>
  <c r="I37" i="1"/>
  <c r="I43" i="1" s="1"/>
  <c r="H37" i="1"/>
  <c r="F37" i="1"/>
  <c r="F43" i="1" s="1"/>
  <c r="J34" i="1"/>
  <c r="N34" i="1" s="1"/>
  <c r="K33" i="1"/>
  <c r="N33" i="1" s="1"/>
  <c r="L32" i="1"/>
  <c r="K32" i="1"/>
  <c r="I32" i="1"/>
  <c r="G32" i="1"/>
  <c r="M31" i="1"/>
  <c r="N31" i="1" s="1"/>
  <c r="L30" i="1"/>
  <c r="J30" i="1"/>
  <c r="I30" i="1"/>
  <c r="L29" i="1"/>
  <c r="I29" i="1"/>
  <c r="H29" i="1"/>
  <c r="G29" i="1"/>
  <c r="F29" i="1"/>
  <c r="L28" i="1"/>
  <c r="K28" i="1"/>
  <c r="J28" i="1"/>
  <c r="I28" i="1"/>
  <c r="H28" i="1"/>
  <c r="G28" i="1"/>
  <c r="G35" i="1" s="1"/>
  <c r="F28" i="1"/>
  <c r="M27" i="1"/>
  <c r="M35" i="1" s="1"/>
  <c r="L27" i="1"/>
  <c r="L35" i="1" s="1"/>
  <c r="K27" i="1"/>
  <c r="J27" i="1"/>
  <c r="M24" i="1"/>
  <c r="N24" i="1" s="1"/>
  <c r="M23" i="1"/>
  <c r="L23" i="1"/>
  <c r="K23" i="1"/>
  <c r="J23" i="1"/>
  <c r="I23" i="1"/>
  <c r="H23" i="1"/>
  <c r="G23" i="1"/>
  <c r="F23" i="1"/>
  <c r="L22" i="1"/>
  <c r="K22" i="1"/>
  <c r="N22" i="1" s="1"/>
  <c r="L21" i="1"/>
  <c r="G21" i="1"/>
  <c r="F21" i="1"/>
  <c r="L20" i="1"/>
  <c r="J20" i="1"/>
  <c r="I20" i="1"/>
  <c r="H20" i="1"/>
  <c r="G20" i="1"/>
  <c r="F20" i="1"/>
  <c r="M19" i="1"/>
  <c r="L19" i="1"/>
  <c r="K19" i="1"/>
  <c r="J19" i="1"/>
  <c r="I19" i="1"/>
  <c r="H19" i="1"/>
  <c r="G19" i="1"/>
  <c r="F19" i="1"/>
  <c r="M18" i="1"/>
  <c r="M25" i="1" s="1"/>
  <c r="L18" i="1"/>
  <c r="L25" i="1" s="1"/>
  <c r="K18" i="1"/>
  <c r="J18" i="1"/>
  <c r="I18" i="1"/>
  <c r="H18" i="1"/>
  <c r="H25" i="1" s="1"/>
  <c r="F18" i="1"/>
  <c r="M16" i="1"/>
  <c r="L16" i="1"/>
  <c r="K16" i="1"/>
  <c r="J16" i="1"/>
  <c r="I16" i="1"/>
  <c r="H16" i="1"/>
  <c r="G16" i="1"/>
  <c r="F16" i="1"/>
  <c r="J14" i="1"/>
  <c r="N14" i="1" s="1"/>
  <c r="M13" i="1"/>
  <c r="L13" i="1"/>
  <c r="K13" i="1"/>
  <c r="J13" i="1"/>
  <c r="I13" i="1"/>
  <c r="H13" i="1"/>
  <c r="G13" i="1"/>
  <c r="F13" i="1"/>
  <c r="J12" i="1"/>
  <c r="G12" i="1"/>
  <c r="N12" i="1" s="1"/>
  <c r="K11" i="1"/>
  <c r="J11" i="1"/>
  <c r="I11" i="1"/>
  <c r="H11" i="1"/>
  <c r="G11" i="1"/>
  <c r="L10" i="1"/>
  <c r="J10" i="1"/>
  <c r="I10" i="1"/>
  <c r="H10" i="1"/>
  <c r="G10" i="1"/>
  <c r="M9" i="1"/>
  <c r="M15" i="1" s="1"/>
  <c r="L9" i="1"/>
  <c r="K9" i="1"/>
  <c r="K15" i="1" s="1"/>
  <c r="J9" i="1"/>
  <c r="I9" i="1"/>
  <c r="H9" i="1"/>
  <c r="H15" i="1" s="1"/>
  <c r="G9" i="1"/>
  <c r="F9" i="1"/>
  <c r="F15" i="1" s="1"/>
  <c r="D116" i="1" l="1"/>
  <c r="L115" i="1"/>
  <c r="I15" i="1"/>
  <c r="N29" i="1"/>
  <c r="K57" i="1"/>
  <c r="N66" i="1"/>
  <c r="N73" i="1"/>
  <c r="N74" i="1" s="1"/>
  <c r="K103" i="1"/>
  <c r="N32" i="1"/>
  <c r="N50" i="1"/>
  <c r="N72" i="1"/>
  <c r="N104" i="1"/>
  <c r="N105" i="1"/>
  <c r="N112" i="1"/>
  <c r="N113" i="1"/>
  <c r="L15" i="1"/>
  <c r="L44" i="1" s="1"/>
  <c r="L58" i="1" s="1"/>
  <c r="L116" i="1" s="1"/>
  <c r="H35" i="1"/>
  <c r="K43" i="1"/>
  <c r="G115" i="1"/>
  <c r="G82" i="1"/>
  <c r="N86" i="1"/>
  <c r="N87" i="1"/>
  <c r="N88" i="1"/>
  <c r="N89" i="1"/>
  <c r="N91" i="1" s="1"/>
  <c r="N95" i="1"/>
  <c r="N98" i="1"/>
  <c r="N99" i="1"/>
  <c r="N101" i="1"/>
  <c r="N102" i="1"/>
  <c r="B44" i="1"/>
  <c r="B58" i="1" s="1"/>
  <c r="I25" i="1"/>
  <c r="L43" i="1"/>
  <c r="G57" i="1"/>
  <c r="J68" i="1"/>
  <c r="N71" i="1"/>
  <c r="N10" i="1"/>
  <c r="N94" i="1"/>
  <c r="N107" i="1"/>
  <c r="N27" i="1"/>
  <c r="N30" i="1"/>
  <c r="K25" i="1"/>
  <c r="I57" i="1"/>
  <c r="N61" i="1"/>
  <c r="J74" i="1"/>
  <c r="N75" i="1"/>
  <c r="N85" i="1"/>
  <c r="C44" i="1"/>
  <c r="C58" i="1" s="1"/>
  <c r="C116" i="1" s="1"/>
  <c r="B115" i="1"/>
  <c r="I115" i="1"/>
  <c r="J115" i="1"/>
  <c r="E116" i="1"/>
  <c r="M115" i="1"/>
  <c r="G15" i="1"/>
  <c r="K35" i="1"/>
  <c r="K44" i="1" s="1"/>
  <c r="K58" i="1" s="1"/>
  <c r="N56" i="1"/>
  <c r="N76" i="1"/>
  <c r="F74" i="1"/>
  <c r="N93" i="1"/>
  <c r="F91" i="1"/>
  <c r="H44" i="1"/>
  <c r="N21" i="1"/>
  <c r="I44" i="1"/>
  <c r="I58" i="1" s="1"/>
  <c r="I116" i="1" s="1"/>
  <c r="J25" i="1"/>
  <c r="H43" i="1"/>
  <c r="N55" i="1"/>
  <c r="N62" i="1"/>
  <c r="N63" i="1"/>
  <c r="N65" i="1"/>
  <c r="N77" i="1"/>
  <c r="F68" i="1"/>
  <c r="F100" i="1"/>
  <c r="J15" i="1"/>
  <c r="N13" i="1"/>
  <c r="N19" i="1"/>
  <c r="N20" i="1"/>
  <c r="N28" i="1"/>
  <c r="L57" i="1"/>
  <c r="N11" i="1"/>
  <c r="N16" i="1"/>
  <c r="N18" i="1"/>
  <c r="G25" i="1"/>
  <c r="J43" i="1"/>
  <c r="M57" i="1"/>
  <c r="N60" i="1"/>
  <c r="N80" i="1"/>
  <c r="M43" i="1"/>
  <c r="M44" i="1" s="1"/>
  <c r="N48" i="1"/>
  <c r="K68" i="1"/>
  <c r="N23" i="1"/>
  <c r="I35" i="1"/>
  <c r="N42" i="1"/>
  <c r="N51" i="1"/>
  <c r="G44" i="1"/>
  <c r="G58" i="1" s="1"/>
  <c r="G116" i="1" s="1"/>
  <c r="N41" i="1"/>
  <c r="H57" i="1"/>
  <c r="N9" i="1"/>
  <c r="N79" i="1"/>
  <c r="F35" i="1"/>
  <c r="F57" i="1"/>
  <c r="F25" i="1"/>
  <c r="F44" i="1" s="1"/>
  <c r="F58" i="1" s="1"/>
  <c r="N37" i="1"/>
  <c r="N38" i="1"/>
  <c r="J35" i="1"/>
  <c r="N47" i="1"/>
  <c r="B116" i="1" l="1"/>
  <c r="N103" i="1"/>
  <c r="N15" i="1"/>
  <c r="N68" i="1"/>
  <c r="N96" i="1"/>
  <c r="F115" i="1"/>
  <c r="F116" i="1" s="1"/>
  <c r="N35" i="1"/>
  <c r="J44" i="1"/>
  <c r="J58" i="1" s="1"/>
  <c r="J116" i="1" s="1"/>
  <c r="N100" i="1"/>
  <c r="N57" i="1"/>
  <c r="K115" i="1"/>
  <c r="K116" i="1" s="1"/>
  <c r="N25" i="1"/>
  <c r="N115" i="1"/>
  <c r="H58" i="1"/>
  <c r="H116" i="1" s="1"/>
  <c r="M58" i="1"/>
  <c r="M116" i="1" s="1"/>
  <c r="N82" i="1"/>
  <c r="N43" i="1"/>
  <c r="N44" i="1" l="1"/>
  <c r="N58" i="1" s="1"/>
  <c r="N116" i="1" s="1"/>
</calcChain>
</file>

<file path=xl/sharedStrings.xml><?xml version="1.0" encoding="utf-8"?>
<sst xmlns="http://schemas.openxmlformats.org/spreadsheetml/2006/main" count="127" uniqueCount="115">
  <si>
    <t>Total</t>
  </si>
  <si>
    <t>Income</t>
  </si>
  <si>
    <t xml:space="preserve">   40500 Other Income</t>
  </si>
  <si>
    <t xml:space="preserve">      40500 A Other Income - Donations</t>
  </si>
  <si>
    <t xml:space="preserve">      40500 B Other Income - Sponsorship Income</t>
  </si>
  <si>
    <t xml:space="preserve">      40500 C Other Income - Facility Rentals</t>
  </si>
  <si>
    <t xml:space="preserve">      40500 E Other Income - Fundraising</t>
  </si>
  <si>
    <t xml:space="preserve">      40500 F Other Income - Trainer Court Time Rental</t>
  </si>
  <si>
    <t xml:space="preserve">   Total 40500 Other Income</t>
  </si>
  <si>
    <t xml:space="preserve">   40600 Interest Earned</t>
  </si>
  <si>
    <t xml:space="preserve">   43400 Revenue</t>
  </si>
  <si>
    <t xml:space="preserve">      43420 Developmental</t>
  </si>
  <si>
    <t xml:space="preserve">      43430 Travel Teams</t>
  </si>
  <si>
    <t xml:space="preserve">      43440 Tryouts</t>
  </si>
  <si>
    <t xml:space="preserve">      43470 Tournament Host</t>
  </si>
  <si>
    <t xml:space="preserve">      43480 Shooting Lab</t>
  </si>
  <si>
    <t xml:space="preserve">      43490 Internal Leagues</t>
  </si>
  <si>
    <t xml:space="preserve">   Total 43400 Revenue</t>
  </si>
  <si>
    <t xml:space="preserve">   44000 Sales Discounts</t>
  </si>
  <si>
    <t xml:space="preserve">      44120 Developmental</t>
  </si>
  <si>
    <t xml:space="preserve">      44130 Travel Teams</t>
  </si>
  <si>
    <t xml:space="preserve">      44180 Shooting Lab</t>
  </si>
  <si>
    <t xml:space="preserve">   Total 44000 Sales Discounts</t>
  </si>
  <si>
    <t xml:space="preserve">   45000 Refunds</t>
  </si>
  <si>
    <t xml:space="preserve">      45120 Developmental</t>
  </si>
  <si>
    <t xml:space="preserve">      45130 Travel Teams</t>
  </si>
  <si>
    <t xml:space="preserve">      45180 Shooting Lab</t>
  </si>
  <si>
    <t xml:space="preserve">      45490 Internal Leagues</t>
  </si>
  <si>
    <t xml:space="preserve">   Total 45000 Refunds</t>
  </si>
  <si>
    <t>Total Income</t>
  </si>
  <si>
    <t>Cost of Goods Sold</t>
  </si>
  <si>
    <t xml:space="preserve">   50000 Cost of Goods Sold</t>
  </si>
  <si>
    <t xml:space="preserve">      50003 Travel Teams</t>
  </si>
  <si>
    <t xml:space="preserve">      50006 Merchandise</t>
  </si>
  <si>
    <t xml:space="preserve">      50007 Tournament Host</t>
  </si>
  <si>
    <t xml:space="preserve">      50008 Internal Leagues</t>
  </si>
  <si>
    <t xml:space="preserve">      50009 Shooting Lab</t>
  </si>
  <si>
    <t xml:space="preserve">      50041 Tournament Entry Expense</t>
  </si>
  <si>
    <t xml:space="preserve">      50044 League Entry Expense</t>
  </si>
  <si>
    <t xml:space="preserve">   Total 50000 Cost of Goods Sold</t>
  </si>
  <si>
    <t>Gross Profit</t>
  </si>
  <si>
    <t>Expenses</t>
  </si>
  <si>
    <t xml:space="preserve">   60004 Bank Charges</t>
  </si>
  <si>
    <t xml:space="preserve">      60004 A PayPal Fees</t>
  </si>
  <si>
    <t xml:space="preserve">      60004 B QuickBooks Payments Fees</t>
  </si>
  <si>
    <t xml:space="preserve">      60004 D Venmo Fees</t>
  </si>
  <si>
    <t xml:space="preserve">      60004 E Mindbody Merchant Fees</t>
  </si>
  <si>
    <t xml:space="preserve">      60004 F Tourney Machine Merchant Fees</t>
  </si>
  <si>
    <t xml:space="preserve">   Total 60004 Bank Charges</t>
  </si>
  <si>
    <t xml:space="preserve">   60006 Board Appreciation</t>
  </si>
  <si>
    <t xml:space="preserve">   60009 Background Checks</t>
  </si>
  <si>
    <t xml:space="preserve">   60010 Coach Expense</t>
  </si>
  <si>
    <t xml:space="preserve">   60011 Contract Labor</t>
  </si>
  <si>
    <t xml:space="preserve">   60012 Depreciation</t>
  </si>
  <si>
    <t xml:space="preserve">   60014 Equipment</t>
  </si>
  <si>
    <t xml:space="preserve">   60015 Facility Rentals</t>
  </si>
  <si>
    <t xml:space="preserve">      60015 A Facility Rentals - TOA</t>
  </si>
  <si>
    <t xml:space="preserve">      60015 B Facility Rentals - North Facility Rentals</t>
  </si>
  <si>
    <t xml:space="preserve">      60015 C Facility Rentals - WILCO Facility Rentals</t>
  </si>
  <si>
    <t xml:space="preserve">   Total 60015 Facility Rentals</t>
  </si>
  <si>
    <t xml:space="preserve">   60017 Workers' Comp Insurance</t>
  </si>
  <si>
    <t xml:space="preserve">   60021 Marketing</t>
  </si>
  <si>
    <t xml:space="preserve">   60022 Meetings</t>
  </si>
  <si>
    <t xml:space="preserve">   60023 Subscriptions</t>
  </si>
  <si>
    <t xml:space="preserve">   60024 Ministry</t>
  </si>
  <si>
    <t xml:space="preserve">   60026 Employee Payroll</t>
  </si>
  <si>
    <t xml:space="preserve">      60026 A Employee 401K Match</t>
  </si>
  <si>
    <t xml:space="preserve">   Total 60026 Employee Payroll</t>
  </si>
  <si>
    <t xml:space="preserve">   60027 Benefits &amp; Related - President</t>
  </si>
  <si>
    <t xml:space="preserve">      60027 A Insurance Package - Medical/Dental/Vision</t>
  </si>
  <si>
    <t xml:space="preserve">      60027 B Internet</t>
  </si>
  <si>
    <t xml:space="preserve">      60027 C Mobile Phone</t>
  </si>
  <si>
    <t xml:space="preserve">   Total 60027 Benefits &amp; Related - President</t>
  </si>
  <si>
    <t xml:space="preserve">   60028 Payroll Taxes</t>
  </si>
  <si>
    <t xml:space="preserve">      60028 A FICA</t>
  </si>
  <si>
    <t xml:space="preserve">      60028 B TN SUI</t>
  </si>
  <si>
    <t xml:space="preserve">   Total 60028 Payroll Taxes</t>
  </si>
  <si>
    <t xml:space="preserve">   60029 Salaries - President</t>
  </si>
  <si>
    <t xml:space="preserve">      60029 A President - Court Time Pay</t>
  </si>
  <si>
    <t xml:space="preserve">   Total 60029 Salaries - President</t>
  </si>
  <si>
    <t xml:space="preserve">   60030 Professional Fees-Accounting</t>
  </si>
  <si>
    <t xml:space="preserve">   60031 Coach Appreciation</t>
  </si>
  <si>
    <t xml:space="preserve">   60033 Supplies</t>
  </si>
  <si>
    <t xml:space="preserve">   60036 Travel Expense</t>
  </si>
  <si>
    <t xml:space="preserve">   60038 Insurance</t>
  </si>
  <si>
    <t xml:space="preserve">   60039 STACK Admin Fee</t>
  </si>
  <si>
    <t xml:space="preserve">   60040 STACK Credit Card Fee</t>
  </si>
  <si>
    <t xml:space="preserve">   60046 Payroll Admin Fees</t>
  </si>
  <si>
    <t xml:space="preserve">   60048 STACK Payment Plan Fees</t>
  </si>
  <si>
    <t>Total Expenses</t>
  </si>
  <si>
    <t>Net Operating Income</t>
  </si>
  <si>
    <t>Stars Basketball Club</t>
  </si>
  <si>
    <t xml:space="preserve">      60010 A Coach Travel</t>
  </si>
  <si>
    <t xml:space="preserve">   Total 60010 Coach Expense</t>
  </si>
  <si>
    <t xml:space="preserve">      40500 G Other Income</t>
  </si>
  <si>
    <t xml:space="preserve">      43460 Merchandise</t>
  </si>
  <si>
    <t xml:space="preserve">      44140 Tryouts</t>
  </si>
  <si>
    <t xml:space="preserve">      44190 Internal Leagues</t>
  </si>
  <si>
    <t xml:space="preserve">      44200 Trainer Court Time Rental</t>
  </si>
  <si>
    <t xml:space="preserve">      44210 Facility Rentals</t>
  </si>
  <si>
    <t xml:space="preserve">      44220 Masks</t>
  </si>
  <si>
    <t xml:space="preserve">      45440 Tryouts</t>
  </si>
  <si>
    <t xml:space="preserve">      45500 Facility Rentals</t>
  </si>
  <si>
    <t xml:space="preserve">      50001 Camps/Clinics</t>
  </si>
  <si>
    <t xml:space="preserve">      50004 Tryouts</t>
  </si>
  <si>
    <t xml:space="preserve">      50010 Programming - Inner City</t>
  </si>
  <si>
    <t xml:space="preserve">   60002 Bad Debt</t>
  </si>
  <si>
    <t xml:space="preserve">      60004 C Loan Fees</t>
  </si>
  <si>
    <t xml:space="preserve">   60005 Interest Expense</t>
  </si>
  <si>
    <t xml:space="preserve">   60020 Licenses and Taxes</t>
  </si>
  <si>
    <t xml:space="preserve">   60043 Shipping and Handling</t>
  </si>
  <si>
    <t xml:space="preserve">   60051 Charitable Contributions</t>
  </si>
  <si>
    <t>October 2021 - September 2022</t>
  </si>
  <si>
    <t>Budget</t>
  </si>
  <si>
    <t>BUDGDET:  F/Y/E 9.30.22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</si>
</sst>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">
    <xf numFmtId="0" fontId="0" fillId="0" borderId="0" xfId="0"/>
    <xf numFmtId="43" fontId="3" fillId="0" borderId="0" xfId="1" applyFont="1" applyAlignment="1">
      <alignment wrapText="1"/>
    </xf>
    <xf numFmtId="43" fontId="3" fillId="0" borderId="0" xfId="1" applyFont="1" applyAlignment="1">
      <alignment horizontal="right" wrapText="1"/>
    </xf>
    <xf numFmtId="43" fontId="2" fillId="0" borderId="2" xfId="1" applyFont="1" applyBorder="1" applyAlignment="1">
      <alignment horizontal="right" wrapText="1"/>
    </xf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3" fontId="2" fillId="0" borderId="0" xfId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Normal="100" workbookViewId="0">
      <pane xSplit="1" ySplit="6" topLeftCell="B103" activePane="bottomRight" state="frozen"/>
      <selection pane="topRight" activeCell="B1" sqref="B1"/>
      <selection pane="bottomLeft" activeCell="A7" sqref="A7"/>
      <selection pane="bottomRight" activeCell="N116" sqref="N116"/>
    </sheetView>
  </sheetViews>
  <sheetFormatPr defaultRowHeight="15" x14ac:dyDescent="0.25"/>
  <cols>
    <col min="1" max="1" width="44" bestFit="1" customWidth="1"/>
    <col min="2" max="2" width="9.42578125" bestFit="1" customWidth="1"/>
    <col min="3" max="3" width="9.5703125" bestFit="1" customWidth="1"/>
    <col min="4" max="5" width="8.7109375" bestFit="1" customWidth="1"/>
    <col min="6" max="6" width="9.42578125" bestFit="1" customWidth="1"/>
    <col min="7" max="7" width="9.5703125" bestFit="1" customWidth="1"/>
    <col min="8" max="8" width="10.28515625" bestFit="1" customWidth="1"/>
    <col min="9" max="11" width="9.42578125" bestFit="1" customWidth="1"/>
    <col min="12" max="12" width="8.7109375" bestFit="1" customWidth="1"/>
    <col min="13" max="13" width="9.5703125" bestFit="1" customWidth="1"/>
    <col min="14" max="14" width="10.85546875" bestFit="1" customWidth="1"/>
  </cols>
  <sheetData>
    <row r="1" spans="1:14" ht="18" x14ac:dyDescent="0.25">
      <c r="A1" s="12" t="s">
        <v>91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 x14ac:dyDescent="0.25">
      <c r="A2" s="12" t="s">
        <v>114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4" t="s">
        <v>112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5" spans="1:14" x14ac:dyDescent="0.25">
      <c r="B5" s="10">
        <v>44470</v>
      </c>
      <c r="C5" s="10">
        <v>44501</v>
      </c>
      <c r="D5" s="10">
        <v>44531</v>
      </c>
      <c r="E5" s="10">
        <v>44562</v>
      </c>
      <c r="F5" s="10">
        <v>44593</v>
      </c>
      <c r="G5" s="10">
        <v>44621</v>
      </c>
      <c r="H5" s="10">
        <v>44652</v>
      </c>
      <c r="I5" s="10">
        <v>44682</v>
      </c>
      <c r="J5" s="10">
        <v>44713</v>
      </c>
      <c r="K5" s="10">
        <v>44743</v>
      </c>
      <c r="L5" s="10">
        <v>44774</v>
      </c>
      <c r="M5" s="10">
        <v>44805</v>
      </c>
      <c r="N5" s="8" t="s">
        <v>0</v>
      </c>
    </row>
    <row r="6" spans="1:14" s="11" customFormat="1" x14ac:dyDescent="0.25">
      <c r="B6" s="9" t="s">
        <v>113</v>
      </c>
      <c r="C6" s="9" t="s">
        <v>113</v>
      </c>
      <c r="D6" s="9" t="s">
        <v>113</v>
      </c>
      <c r="E6" s="9" t="s">
        <v>113</v>
      </c>
      <c r="F6" s="9" t="s">
        <v>113</v>
      </c>
      <c r="G6" s="9" t="s">
        <v>113</v>
      </c>
      <c r="H6" s="9" t="s">
        <v>113</v>
      </c>
      <c r="I6" s="9" t="s">
        <v>113</v>
      </c>
      <c r="J6" s="9" t="s">
        <v>113</v>
      </c>
      <c r="K6" s="9" t="s">
        <v>113</v>
      </c>
      <c r="L6" s="9" t="s">
        <v>113</v>
      </c>
      <c r="M6" s="9" t="s">
        <v>113</v>
      </c>
      <c r="N6" s="9" t="s">
        <v>113</v>
      </c>
    </row>
    <row r="7" spans="1:14" x14ac:dyDescent="0.25">
      <c r="A7" s="5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5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</row>
    <row r="9" spans="1:14" x14ac:dyDescent="0.25">
      <c r="A9" s="5" t="s">
        <v>3</v>
      </c>
      <c r="B9" s="2">
        <v>590</v>
      </c>
      <c r="C9" s="2">
        <v>1225</v>
      </c>
      <c r="D9" s="2">
        <v>12347.27</v>
      </c>
      <c r="E9" s="2">
        <v>15955</v>
      </c>
      <c r="F9" s="2">
        <f>740</f>
        <v>740</v>
      </c>
      <c r="G9" s="2">
        <f>2147</f>
        <v>2147</v>
      </c>
      <c r="H9" s="2">
        <f>925</f>
        <v>925</v>
      </c>
      <c r="I9" s="2">
        <f>2042</f>
        <v>2042</v>
      </c>
      <c r="J9" s="2">
        <f>15030.48</f>
        <v>15030.48</v>
      </c>
      <c r="K9" s="2">
        <f>681</f>
        <v>681</v>
      </c>
      <c r="L9" s="2">
        <f>414.08</f>
        <v>414.08</v>
      </c>
      <c r="M9" s="2">
        <f>363.66</f>
        <v>363.66</v>
      </c>
      <c r="N9" s="2">
        <f>SUM(B9:M9)</f>
        <v>52460.490000000005</v>
      </c>
    </row>
    <row r="10" spans="1:14" x14ac:dyDescent="0.25">
      <c r="A10" s="5" t="s">
        <v>4</v>
      </c>
      <c r="B10" s="1"/>
      <c r="C10" s="2">
        <v>3450</v>
      </c>
      <c r="D10" s="1"/>
      <c r="E10" s="1"/>
      <c r="F10" s="1"/>
      <c r="G10" s="2">
        <f>500</f>
        <v>500</v>
      </c>
      <c r="H10" s="2">
        <f>500</f>
        <v>500</v>
      </c>
      <c r="I10" s="2">
        <f>2000</f>
        <v>2000</v>
      </c>
      <c r="J10" s="2">
        <f>750</f>
        <v>750</v>
      </c>
      <c r="K10" s="1"/>
      <c r="L10" s="2">
        <f>25000</f>
        <v>25000</v>
      </c>
      <c r="M10" s="1"/>
      <c r="N10" s="2">
        <f t="shared" ref="N10:N14" si="0">SUM(B10:M10)</f>
        <v>32200</v>
      </c>
    </row>
    <row r="11" spans="1:14" x14ac:dyDescent="0.25">
      <c r="A11" s="5" t="s">
        <v>5</v>
      </c>
      <c r="B11" s="1"/>
      <c r="C11" s="2">
        <v>30</v>
      </c>
      <c r="D11" s="1"/>
      <c r="E11" s="1"/>
      <c r="F11" s="1"/>
      <c r="G11" s="2">
        <f>28000</f>
        <v>28000</v>
      </c>
      <c r="H11" s="2">
        <f>15000</f>
        <v>15000</v>
      </c>
      <c r="I11" s="2">
        <f>33500</f>
        <v>33500</v>
      </c>
      <c r="J11" s="2">
        <f>6000</f>
        <v>6000</v>
      </c>
      <c r="K11" s="2">
        <f>10500</f>
        <v>10500</v>
      </c>
      <c r="L11" s="1"/>
      <c r="M11" s="1"/>
      <c r="N11" s="2">
        <f t="shared" si="0"/>
        <v>93030</v>
      </c>
    </row>
    <row r="12" spans="1:14" x14ac:dyDescent="0.25">
      <c r="A12" s="5" t="s">
        <v>6</v>
      </c>
      <c r="B12" s="1"/>
      <c r="C12" s="1"/>
      <c r="D12" s="2">
        <v>675.72</v>
      </c>
      <c r="E12" s="1"/>
      <c r="F12" s="1"/>
      <c r="G12" s="2">
        <f>714.84</f>
        <v>714.84</v>
      </c>
      <c r="H12" s="1"/>
      <c r="I12" s="1"/>
      <c r="J12" s="2">
        <f>205.34</f>
        <v>205.34</v>
      </c>
      <c r="K12" s="1"/>
      <c r="L12" s="1"/>
      <c r="M12" s="1"/>
      <c r="N12" s="2">
        <f t="shared" si="0"/>
        <v>1595.8999999999999</v>
      </c>
    </row>
    <row r="13" spans="1:14" x14ac:dyDescent="0.25">
      <c r="A13" s="5" t="s">
        <v>7</v>
      </c>
      <c r="B13" s="2">
        <v>390</v>
      </c>
      <c r="C13" s="2">
        <v>1900</v>
      </c>
      <c r="D13" s="2">
        <v>2720</v>
      </c>
      <c r="E13" s="2">
        <v>600</v>
      </c>
      <c r="F13" s="2">
        <f>770</f>
        <v>770</v>
      </c>
      <c r="G13" s="2">
        <f>1160</f>
        <v>1160</v>
      </c>
      <c r="H13" s="2">
        <f>300</f>
        <v>300</v>
      </c>
      <c r="I13" s="2">
        <f>1280</f>
        <v>1280</v>
      </c>
      <c r="J13" s="2">
        <f>940</f>
        <v>940</v>
      </c>
      <c r="K13" s="2">
        <f>870</f>
        <v>870</v>
      </c>
      <c r="L13" s="2">
        <f>3310</f>
        <v>3310</v>
      </c>
      <c r="M13" s="2">
        <f>1767.5</f>
        <v>1767.5</v>
      </c>
      <c r="N13" s="2">
        <f t="shared" si="0"/>
        <v>16007.5</v>
      </c>
    </row>
    <row r="14" spans="1:14" s="4" customFormat="1" x14ac:dyDescent="0.25">
      <c r="A14" s="6" t="s">
        <v>94</v>
      </c>
      <c r="B14" s="2"/>
      <c r="C14" s="2"/>
      <c r="D14" s="2"/>
      <c r="E14" s="2"/>
      <c r="F14" s="1"/>
      <c r="G14" s="2">
        <v>10000</v>
      </c>
      <c r="H14" s="1"/>
      <c r="I14" s="1"/>
      <c r="J14" s="2">
        <f>1000</f>
        <v>1000</v>
      </c>
      <c r="K14" s="2"/>
      <c r="L14" s="1"/>
      <c r="M14" s="1"/>
      <c r="N14" s="2">
        <f t="shared" si="0"/>
        <v>11000</v>
      </c>
    </row>
    <row r="15" spans="1:14" x14ac:dyDescent="0.25">
      <c r="A15" s="5" t="s">
        <v>8</v>
      </c>
      <c r="B15" s="3">
        <f>SUM(B9:B14)</f>
        <v>980</v>
      </c>
      <c r="C15" s="3">
        <f t="shared" ref="C15:M15" si="1">SUM(C9:C14)</f>
        <v>6605</v>
      </c>
      <c r="D15" s="3">
        <f t="shared" si="1"/>
        <v>15742.99</v>
      </c>
      <c r="E15" s="3">
        <f t="shared" si="1"/>
        <v>16555</v>
      </c>
      <c r="F15" s="3">
        <f t="shared" si="1"/>
        <v>1510</v>
      </c>
      <c r="G15" s="3">
        <f t="shared" si="1"/>
        <v>42521.84</v>
      </c>
      <c r="H15" s="3">
        <f t="shared" si="1"/>
        <v>16725</v>
      </c>
      <c r="I15" s="3">
        <f t="shared" si="1"/>
        <v>38822</v>
      </c>
      <c r="J15" s="3">
        <f t="shared" si="1"/>
        <v>23925.82</v>
      </c>
      <c r="K15" s="3">
        <f t="shared" si="1"/>
        <v>12051</v>
      </c>
      <c r="L15" s="3">
        <f t="shared" si="1"/>
        <v>28724.080000000002</v>
      </c>
      <c r="M15" s="3">
        <f t="shared" si="1"/>
        <v>2131.16</v>
      </c>
      <c r="N15" s="3">
        <f>SUM(N9:N14)</f>
        <v>206293.88999999998</v>
      </c>
    </row>
    <row r="16" spans="1:14" x14ac:dyDescent="0.25">
      <c r="A16" s="5" t="s">
        <v>9</v>
      </c>
      <c r="B16" s="2">
        <v>40.659999999999997</v>
      </c>
      <c r="C16" s="2">
        <v>35.93</v>
      </c>
      <c r="D16" s="2">
        <v>35.86</v>
      </c>
      <c r="E16" s="2">
        <v>38.44</v>
      </c>
      <c r="F16" s="2">
        <f>51.46</f>
        <v>51.46</v>
      </c>
      <c r="G16" s="2">
        <f>81.6</f>
        <v>81.599999999999994</v>
      </c>
      <c r="H16" s="2">
        <f>53.53</f>
        <v>53.53</v>
      </c>
      <c r="I16" s="2">
        <f>36.83</f>
        <v>36.83</v>
      </c>
      <c r="J16" s="2">
        <f>34.61</f>
        <v>34.61</v>
      </c>
      <c r="K16" s="2">
        <f>36.68</f>
        <v>36.68</v>
      </c>
      <c r="L16" s="2">
        <f>35.2</f>
        <v>35.200000000000003</v>
      </c>
      <c r="M16" s="2">
        <f>41.27</f>
        <v>41.27</v>
      </c>
      <c r="N16" s="2">
        <f>SUM(B16:M16)</f>
        <v>522.07000000000005</v>
      </c>
    </row>
    <row r="17" spans="1:14" x14ac:dyDescent="0.25">
      <c r="A17" s="5" t="s">
        <v>10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5" t="s">
        <v>11</v>
      </c>
      <c r="B18" s="2">
        <v>10995</v>
      </c>
      <c r="C18" s="2">
        <v>18450</v>
      </c>
      <c r="D18" s="2">
        <v>30044</v>
      </c>
      <c r="E18" s="2">
        <v>16954.2</v>
      </c>
      <c r="F18" s="2">
        <f>280</f>
        <v>280</v>
      </c>
      <c r="G18" s="1"/>
      <c r="H18" s="2">
        <f>4542</f>
        <v>4542</v>
      </c>
      <c r="I18" s="2">
        <f>203</f>
        <v>203</v>
      </c>
      <c r="J18" s="2">
        <f>47938</f>
        <v>47938</v>
      </c>
      <c r="K18" s="2">
        <f>35202</f>
        <v>35202</v>
      </c>
      <c r="L18" s="2">
        <f>14855</f>
        <v>14855</v>
      </c>
      <c r="M18" s="2">
        <f>13928</f>
        <v>13928</v>
      </c>
      <c r="N18" s="2">
        <f t="shared" ref="N18:N24" si="2">SUM(B18:M18)</f>
        <v>193391.2</v>
      </c>
    </row>
    <row r="19" spans="1:14" x14ac:dyDescent="0.25">
      <c r="A19" s="5" t="s">
        <v>12</v>
      </c>
      <c r="B19" s="1"/>
      <c r="C19" s="2">
        <v>87061</v>
      </c>
      <c r="D19" s="2">
        <v>1559</v>
      </c>
      <c r="E19" s="1"/>
      <c r="F19" s="2">
        <f>40468</f>
        <v>40468</v>
      </c>
      <c r="G19" s="2">
        <f>330875</f>
        <v>330875</v>
      </c>
      <c r="H19" s="2">
        <f>17150</f>
        <v>17150</v>
      </c>
      <c r="I19" s="2">
        <f>31390</f>
        <v>31390</v>
      </c>
      <c r="J19" s="2">
        <f>6980</f>
        <v>6980</v>
      </c>
      <c r="K19" s="2">
        <f>2708</f>
        <v>2708</v>
      </c>
      <c r="L19" s="2">
        <f>3791</f>
        <v>3791</v>
      </c>
      <c r="M19" s="2">
        <f>90</f>
        <v>90</v>
      </c>
      <c r="N19" s="2">
        <f t="shared" si="2"/>
        <v>522072</v>
      </c>
    </row>
    <row r="20" spans="1:14" x14ac:dyDescent="0.25">
      <c r="A20" s="5" t="s">
        <v>13</v>
      </c>
      <c r="B20" s="1"/>
      <c r="C20" s="1"/>
      <c r="D20" s="1"/>
      <c r="E20" s="1"/>
      <c r="F20" s="2">
        <f>18480</f>
        <v>18480</v>
      </c>
      <c r="G20" s="2">
        <f>1090</f>
        <v>1090</v>
      </c>
      <c r="H20" s="2">
        <f>1980</f>
        <v>1980</v>
      </c>
      <c r="I20" s="2">
        <f>3720</f>
        <v>3720</v>
      </c>
      <c r="J20" s="2">
        <f>1040</f>
        <v>1040</v>
      </c>
      <c r="K20" s="1"/>
      <c r="L20" s="2">
        <f>7020</f>
        <v>7020</v>
      </c>
      <c r="M20" s="1"/>
      <c r="N20" s="2">
        <f t="shared" si="2"/>
        <v>33330</v>
      </c>
    </row>
    <row r="21" spans="1:14" s="4" customFormat="1" x14ac:dyDescent="0.25">
      <c r="A21" s="6" t="s">
        <v>95</v>
      </c>
      <c r="B21" s="1"/>
      <c r="C21" s="1"/>
      <c r="D21" s="1"/>
      <c r="E21" s="1"/>
      <c r="F21" s="2">
        <f>140</f>
        <v>140</v>
      </c>
      <c r="G21" s="2">
        <f>20</f>
        <v>20</v>
      </c>
      <c r="H21" s="1"/>
      <c r="I21" s="1"/>
      <c r="J21" s="1"/>
      <c r="K21" s="1"/>
      <c r="L21" s="2">
        <f>185</f>
        <v>185</v>
      </c>
      <c r="M21" s="1"/>
      <c r="N21" s="2">
        <f t="shared" si="2"/>
        <v>345</v>
      </c>
    </row>
    <row r="22" spans="1:14" x14ac:dyDescent="0.25">
      <c r="A22" s="5" t="s">
        <v>14</v>
      </c>
      <c r="B22" s="1"/>
      <c r="C22" s="2">
        <v>19917.73</v>
      </c>
      <c r="D22" s="2">
        <v>21170.02</v>
      </c>
      <c r="E22" s="2">
        <v>175</v>
      </c>
      <c r="F22" s="1"/>
      <c r="G22" s="1"/>
      <c r="H22" s="1"/>
      <c r="I22" s="1"/>
      <c r="J22" s="1"/>
      <c r="K22" s="2">
        <f>17154.02</f>
        <v>17154.02</v>
      </c>
      <c r="L22" s="2">
        <f>-108.35</f>
        <v>-108.35</v>
      </c>
      <c r="M22" s="1"/>
      <c r="N22" s="2">
        <f t="shared" si="2"/>
        <v>58308.420000000006</v>
      </c>
    </row>
    <row r="23" spans="1:14" x14ac:dyDescent="0.25">
      <c r="A23" s="5" t="s">
        <v>15</v>
      </c>
      <c r="B23" s="2">
        <v>9933.5</v>
      </c>
      <c r="C23" s="2">
        <v>6974</v>
      </c>
      <c r="D23" s="2">
        <v>6264.2</v>
      </c>
      <c r="E23" s="2">
        <v>13422.4</v>
      </c>
      <c r="F23" s="2">
        <f>6115</f>
        <v>6115</v>
      </c>
      <c r="G23" s="2">
        <f>1408</f>
        <v>1408</v>
      </c>
      <c r="H23" s="2">
        <f>2700</f>
        <v>2700</v>
      </c>
      <c r="I23" s="2">
        <f>5157.51</f>
        <v>5157.51</v>
      </c>
      <c r="J23" s="2">
        <f>3844</f>
        <v>3844</v>
      </c>
      <c r="K23" s="2">
        <f>5089</f>
        <v>5089</v>
      </c>
      <c r="L23" s="2">
        <f>8311</f>
        <v>8311</v>
      </c>
      <c r="M23" s="2">
        <f>8682.6</f>
        <v>8682.6</v>
      </c>
      <c r="N23" s="2">
        <f t="shared" si="2"/>
        <v>77901.210000000006</v>
      </c>
    </row>
    <row r="24" spans="1:14" x14ac:dyDescent="0.25">
      <c r="A24" s="5" t="s">
        <v>16</v>
      </c>
      <c r="B24" s="2">
        <v>80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2">
        <f>85432</f>
        <v>85432</v>
      </c>
      <c r="N24" s="2">
        <f t="shared" si="2"/>
        <v>85512</v>
      </c>
    </row>
    <row r="25" spans="1:14" x14ac:dyDescent="0.25">
      <c r="A25" s="5" t="s">
        <v>17</v>
      </c>
      <c r="B25" s="3">
        <f>SUM(B18:B24)</f>
        <v>21008.5</v>
      </c>
      <c r="C25" s="3">
        <f t="shared" ref="C25:M25" si="3">SUM(C18:C24)</f>
        <v>132402.72999999998</v>
      </c>
      <c r="D25" s="3">
        <f t="shared" si="3"/>
        <v>59037.22</v>
      </c>
      <c r="E25" s="3">
        <f t="shared" si="3"/>
        <v>30551.599999999999</v>
      </c>
      <c r="F25" s="3">
        <f t="shared" si="3"/>
        <v>65483</v>
      </c>
      <c r="G25" s="3">
        <f t="shared" si="3"/>
        <v>333393</v>
      </c>
      <c r="H25" s="3">
        <f t="shared" si="3"/>
        <v>26372</v>
      </c>
      <c r="I25" s="3">
        <f t="shared" si="3"/>
        <v>40470.51</v>
      </c>
      <c r="J25" s="3">
        <f t="shared" si="3"/>
        <v>59802</v>
      </c>
      <c r="K25" s="3">
        <f t="shared" si="3"/>
        <v>60153.020000000004</v>
      </c>
      <c r="L25" s="3">
        <f t="shared" si="3"/>
        <v>34053.65</v>
      </c>
      <c r="M25" s="3">
        <f t="shared" si="3"/>
        <v>108132.6</v>
      </c>
      <c r="N25" s="3">
        <f>SUM(N18:N24)</f>
        <v>970859.83</v>
      </c>
    </row>
    <row r="26" spans="1:14" x14ac:dyDescent="0.25">
      <c r="A26" s="5" t="s">
        <v>18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</row>
    <row r="27" spans="1:14" x14ac:dyDescent="0.25">
      <c r="A27" s="5" t="s">
        <v>19</v>
      </c>
      <c r="B27" s="2">
        <v>-73.3</v>
      </c>
      <c r="C27" s="2">
        <v>-348.6</v>
      </c>
      <c r="D27" s="2">
        <v>-2554.5</v>
      </c>
      <c r="E27" s="2">
        <v>-1603.5</v>
      </c>
      <c r="F27" s="1"/>
      <c r="G27" s="1"/>
      <c r="H27" s="1"/>
      <c r="I27" s="1"/>
      <c r="J27" s="2">
        <f>-8847.8</f>
        <v>-8847.7999999999993</v>
      </c>
      <c r="K27" s="2">
        <f>-5043.5</f>
        <v>-5043.5</v>
      </c>
      <c r="L27" s="2">
        <f>-1220</f>
        <v>-1220</v>
      </c>
      <c r="M27" s="2">
        <f>-518</f>
        <v>-518</v>
      </c>
      <c r="N27" s="2">
        <f>SUM(B27:M27)</f>
        <v>-20209.199999999997</v>
      </c>
    </row>
    <row r="28" spans="1:14" x14ac:dyDescent="0.25">
      <c r="A28" s="5" t="s">
        <v>20</v>
      </c>
      <c r="B28" s="1"/>
      <c r="C28" s="2">
        <v>-2909.5</v>
      </c>
      <c r="D28" s="2">
        <v>-739</v>
      </c>
      <c r="E28" s="2">
        <v>-640</v>
      </c>
      <c r="F28" s="2">
        <f>-4900</f>
        <v>-4900</v>
      </c>
      <c r="G28" s="2">
        <f>-40342.75</f>
        <v>-40342.75</v>
      </c>
      <c r="H28" s="2">
        <f>-160</f>
        <v>-160</v>
      </c>
      <c r="I28" s="2">
        <f>-1165</f>
        <v>-1165</v>
      </c>
      <c r="J28" s="2">
        <f>-155</f>
        <v>-155</v>
      </c>
      <c r="K28" s="2">
        <f>-280</f>
        <v>-280</v>
      </c>
      <c r="L28" s="2">
        <f>-70</f>
        <v>-70</v>
      </c>
      <c r="M28" s="1"/>
      <c r="N28" s="2">
        <f t="shared" ref="N28:N34" si="4">SUM(B28:M28)</f>
        <v>-51361.25</v>
      </c>
    </row>
    <row r="29" spans="1:14" s="4" customFormat="1" x14ac:dyDescent="0.25">
      <c r="A29" s="6" t="s">
        <v>96</v>
      </c>
      <c r="B29" s="1"/>
      <c r="C29" s="2"/>
      <c r="D29" s="2"/>
      <c r="E29" s="2"/>
      <c r="F29" s="2">
        <f>-3227</f>
        <v>-3227</v>
      </c>
      <c r="G29" s="2">
        <f>-456</f>
        <v>-456</v>
      </c>
      <c r="H29" s="2">
        <f>-360</f>
        <v>-360</v>
      </c>
      <c r="I29" s="2">
        <f>-425</f>
        <v>-425</v>
      </c>
      <c r="J29" s="1"/>
      <c r="K29" s="1"/>
      <c r="L29" s="2">
        <f>-963</f>
        <v>-963</v>
      </c>
      <c r="M29" s="1"/>
      <c r="N29" s="2">
        <f t="shared" si="4"/>
        <v>-5431</v>
      </c>
    </row>
    <row r="30" spans="1:14" x14ac:dyDescent="0.25">
      <c r="A30" s="5" t="s">
        <v>21</v>
      </c>
      <c r="B30" s="1"/>
      <c r="C30" s="1"/>
      <c r="D30" s="2">
        <v>-537.89</v>
      </c>
      <c r="E30" s="2">
        <v>-240.26</v>
      </c>
      <c r="F30" s="1"/>
      <c r="G30" s="1"/>
      <c r="H30" s="1"/>
      <c r="I30" s="2">
        <f>-150</f>
        <v>-150</v>
      </c>
      <c r="J30" s="2">
        <f>-65</f>
        <v>-65</v>
      </c>
      <c r="K30" s="1"/>
      <c r="L30" s="2">
        <f>-306.8</f>
        <v>-306.8</v>
      </c>
      <c r="M30" s="1"/>
      <c r="N30" s="2">
        <f t="shared" si="4"/>
        <v>-1299.95</v>
      </c>
    </row>
    <row r="31" spans="1:14" s="4" customFormat="1" x14ac:dyDescent="0.25">
      <c r="A31" s="6" t="s">
        <v>97</v>
      </c>
      <c r="B31" s="1"/>
      <c r="C31" s="1"/>
      <c r="D31" s="2"/>
      <c r="E31" s="2"/>
      <c r="F31" s="1"/>
      <c r="G31" s="1"/>
      <c r="H31" s="1"/>
      <c r="I31" s="1"/>
      <c r="J31" s="1"/>
      <c r="K31" s="1"/>
      <c r="L31" s="1"/>
      <c r="M31" s="2">
        <f>-10799</f>
        <v>-10799</v>
      </c>
      <c r="N31" s="2">
        <f t="shared" si="4"/>
        <v>-10799</v>
      </c>
    </row>
    <row r="32" spans="1:14" s="4" customFormat="1" x14ac:dyDescent="0.25">
      <c r="A32" s="6" t="s">
        <v>98</v>
      </c>
      <c r="B32" s="1"/>
      <c r="C32" s="1"/>
      <c r="D32" s="2"/>
      <c r="E32" s="2"/>
      <c r="F32" s="1"/>
      <c r="G32" s="2">
        <f>-200</f>
        <v>-200</v>
      </c>
      <c r="H32" s="1"/>
      <c r="I32" s="2">
        <f>-330</f>
        <v>-330</v>
      </c>
      <c r="J32" s="1"/>
      <c r="K32" s="2">
        <f>-100</f>
        <v>-100</v>
      </c>
      <c r="L32" s="2">
        <f>-84</f>
        <v>-84</v>
      </c>
      <c r="M32" s="1"/>
      <c r="N32" s="2">
        <f t="shared" si="4"/>
        <v>-714</v>
      </c>
    </row>
    <row r="33" spans="1:14" s="4" customFormat="1" x14ac:dyDescent="0.25">
      <c r="A33" s="6" t="s">
        <v>99</v>
      </c>
      <c r="B33" s="1"/>
      <c r="C33" s="1"/>
      <c r="D33" s="2"/>
      <c r="E33" s="2"/>
      <c r="F33" s="1"/>
      <c r="G33" s="1"/>
      <c r="H33" s="1"/>
      <c r="I33" s="1"/>
      <c r="J33" s="1"/>
      <c r="K33" s="2">
        <f>-20</f>
        <v>-20</v>
      </c>
      <c r="L33" s="1"/>
      <c r="M33" s="1"/>
      <c r="N33" s="2">
        <f t="shared" si="4"/>
        <v>-20</v>
      </c>
    </row>
    <row r="34" spans="1:14" s="4" customFormat="1" x14ac:dyDescent="0.25">
      <c r="A34" s="6" t="s">
        <v>100</v>
      </c>
      <c r="B34" s="1"/>
      <c r="C34" s="1"/>
      <c r="D34" s="2"/>
      <c r="E34" s="2"/>
      <c r="F34" s="1"/>
      <c r="G34" s="1"/>
      <c r="H34" s="1"/>
      <c r="I34" s="1"/>
      <c r="J34" s="2">
        <f>-85</f>
        <v>-85</v>
      </c>
      <c r="K34" s="1"/>
      <c r="L34" s="1"/>
      <c r="M34" s="1"/>
      <c r="N34" s="2">
        <f t="shared" si="4"/>
        <v>-85</v>
      </c>
    </row>
    <row r="35" spans="1:14" x14ac:dyDescent="0.25">
      <c r="A35" s="5" t="s">
        <v>22</v>
      </c>
      <c r="B35" s="3">
        <f>SUM(B27:B34)</f>
        <v>-73.3</v>
      </c>
      <c r="C35" s="3">
        <f t="shared" ref="C35:N35" si="5">SUM(C27:C34)</f>
        <v>-3258.1</v>
      </c>
      <c r="D35" s="3">
        <f t="shared" si="5"/>
        <v>-3831.39</v>
      </c>
      <c r="E35" s="3">
        <f t="shared" si="5"/>
        <v>-2483.7600000000002</v>
      </c>
      <c r="F35" s="3">
        <f t="shared" si="5"/>
        <v>-8127</v>
      </c>
      <c r="G35" s="3">
        <f t="shared" si="5"/>
        <v>-40998.75</v>
      </c>
      <c r="H35" s="3">
        <f t="shared" si="5"/>
        <v>-520</v>
      </c>
      <c r="I35" s="3">
        <f t="shared" si="5"/>
        <v>-2070</v>
      </c>
      <c r="J35" s="3">
        <f t="shared" si="5"/>
        <v>-9152.7999999999993</v>
      </c>
      <c r="K35" s="3">
        <f t="shared" si="5"/>
        <v>-5443.5</v>
      </c>
      <c r="L35" s="3">
        <f t="shared" si="5"/>
        <v>-2643.8</v>
      </c>
      <c r="M35" s="3">
        <f t="shared" si="5"/>
        <v>-11317</v>
      </c>
      <c r="N35" s="3">
        <f t="shared" si="5"/>
        <v>-89919.4</v>
      </c>
    </row>
    <row r="36" spans="1:14" x14ac:dyDescent="0.25">
      <c r="A36" s="5" t="s">
        <v>23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</row>
    <row r="37" spans="1:14" x14ac:dyDescent="0.25">
      <c r="A37" s="5" t="s">
        <v>24</v>
      </c>
      <c r="B37" s="2">
        <v>-413</v>
      </c>
      <c r="C37" s="2">
        <v>-182.5</v>
      </c>
      <c r="D37" s="2">
        <v>-333.33</v>
      </c>
      <c r="E37" s="2">
        <v>-448.33</v>
      </c>
      <c r="F37" s="2">
        <f>-2643.25</f>
        <v>-2643.25</v>
      </c>
      <c r="G37" s="1"/>
      <c r="H37" s="2">
        <f>-24</f>
        <v>-24</v>
      </c>
      <c r="I37" s="2">
        <f>-58</f>
        <v>-58</v>
      </c>
      <c r="J37" s="2">
        <f>-1100.2</f>
        <v>-1100.2</v>
      </c>
      <c r="K37" s="2">
        <f>-654.75</f>
        <v>-654.75</v>
      </c>
      <c r="L37" s="2">
        <f>-225</f>
        <v>-225</v>
      </c>
      <c r="M37" s="2">
        <f>-119</f>
        <v>-119</v>
      </c>
      <c r="N37" s="2">
        <f>SUM(B37:M37)</f>
        <v>-6201.36</v>
      </c>
    </row>
    <row r="38" spans="1:14" x14ac:dyDescent="0.25">
      <c r="A38" s="5" t="s">
        <v>25</v>
      </c>
      <c r="B38" s="1"/>
      <c r="C38" s="1"/>
      <c r="D38" s="2">
        <v>-549</v>
      </c>
      <c r="E38" s="1"/>
      <c r="F38" s="1"/>
      <c r="G38" s="2">
        <f>-43.75</f>
        <v>-43.75</v>
      </c>
      <c r="H38" s="2">
        <f>-2485</f>
        <v>-2485</v>
      </c>
      <c r="I38" s="2">
        <f>-950</f>
        <v>-950</v>
      </c>
      <c r="J38" s="2">
        <f>-6883.36</f>
        <v>-6883.36</v>
      </c>
      <c r="K38" s="2">
        <f>-2919</f>
        <v>-2919</v>
      </c>
      <c r="L38" s="2">
        <f>-6055</f>
        <v>-6055</v>
      </c>
      <c r="M38" s="2">
        <f>-360</f>
        <v>-360</v>
      </c>
      <c r="N38" s="2">
        <f t="shared" ref="N38:N42" si="6">SUM(B38:M38)</f>
        <v>-20245.11</v>
      </c>
    </row>
    <row r="39" spans="1:14" x14ac:dyDescent="0.25">
      <c r="A39" s="5" t="s">
        <v>26</v>
      </c>
      <c r="B39" s="1"/>
      <c r="C39" s="1"/>
      <c r="D39" s="2">
        <v>-398</v>
      </c>
      <c r="E39" s="1"/>
      <c r="F39" s="1"/>
      <c r="G39" s="1"/>
      <c r="H39" s="2">
        <f>-150</f>
        <v>-150</v>
      </c>
      <c r="I39" s="1"/>
      <c r="J39" s="1"/>
      <c r="K39" s="1"/>
      <c r="L39" s="1"/>
      <c r="M39" s="2">
        <f>-577.1</f>
        <v>-577.1</v>
      </c>
      <c r="N39" s="2">
        <f t="shared" si="6"/>
        <v>-1125.0999999999999</v>
      </c>
    </row>
    <row r="40" spans="1:14" s="4" customFormat="1" x14ac:dyDescent="0.25">
      <c r="A40" s="6" t="s">
        <v>101</v>
      </c>
      <c r="B40" s="1"/>
      <c r="C40" s="1"/>
      <c r="D40" s="2"/>
      <c r="E40" s="1"/>
      <c r="F40" s="2">
        <f>-300.5</f>
        <v>-300.5</v>
      </c>
      <c r="G40" s="1"/>
      <c r="H40" s="1"/>
      <c r="I40" s="2">
        <f>-15</f>
        <v>-15</v>
      </c>
      <c r="J40" s="2">
        <f>-25</f>
        <v>-25</v>
      </c>
      <c r="K40" s="1"/>
      <c r="L40" s="2">
        <f>-18</f>
        <v>-18</v>
      </c>
      <c r="M40" s="1"/>
      <c r="N40" s="2">
        <f t="shared" si="6"/>
        <v>-358.5</v>
      </c>
    </row>
    <row r="41" spans="1:14" x14ac:dyDescent="0.25">
      <c r="A41" s="5" t="s">
        <v>27</v>
      </c>
      <c r="B41" s="2">
        <v>-50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2">
        <f>-162</f>
        <v>-162</v>
      </c>
      <c r="N41" s="2">
        <f t="shared" si="6"/>
        <v>-212</v>
      </c>
    </row>
    <row r="42" spans="1:14" s="4" customFormat="1" x14ac:dyDescent="0.25">
      <c r="A42" s="6" t="s">
        <v>102</v>
      </c>
      <c r="B42" s="2"/>
      <c r="C42" s="1"/>
      <c r="D42" s="1"/>
      <c r="E42" s="1"/>
      <c r="F42" s="1"/>
      <c r="G42" s="1"/>
      <c r="H42" s="1"/>
      <c r="I42" s="2">
        <f>-500</f>
        <v>-500</v>
      </c>
      <c r="J42" s="2">
        <f>-500</f>
        <v>-500</v>
      </c>
      <c r="K42" s="1"/>
      <c r="L42" s="1"/>
      <c r="M42" s="1"/>
      <c r="N42" s="2">
        <f t="shared" si="6"/>
        <v>-1000</v>
      </c>
    </row>
    <row r="43" spans="1:14" x14ac:dyDescent="0.25">
      <c r="A43" s="5" t="s">
        <v>28</v>
      </c>
      <c r="B43" s="3">
        <f>SUM(B37:B42)</f>
        <v>-463</v>
      </c>
      <c r="C43" s="3">
        <f t="shared" ref="C43:N43" si="7">SUM(C37:C42)</f>
        <v>-182.5</v>
      </c>
      <c r="D43" s="3">
        <f t="shared" si="7"/>
        <v>-1280.33</v>
      </c>
      <c r="E43" s="3">
        <f t="shared" si="7"/>
        <v>-448.33</v>
      </c>
      <c r="F43" s="3">
        <f t="shared" si="7"/>
        <v>-2943.75</v>
      </c>
      <c r="G43" s="3">
        <f t="shared" si="7"/>
        <v>-43.75</v>
      </c>
      <c r="H43" s="3">
        <f t="shared" si="7"/>
        <v>-2659</v>
      </c>
      <c r="I43" s="3">
        <f t="shared" si="7"/>
        <v>-1523</v>
      </c>
      <c r="J43" s="3">
        <f t="shared" si="7"/>
        <v>-8508.56</v>
      </c>
      <c r="K43" s="3">
        <f t="shared" si="7"/>
        <v>-3573.75</v>
      </c>
      <c r="L43" s="3">
        <f t="shared" si="7"/>
        <v>-6298</v>
      </c>
      <c r="M43" s="3">
        <f t="shared" si="7"/>
        <v>-1218.0999999999999</v>
      </c>
      <c r="N43" s="3">
        <f t="shared" si="7"/>
        <v>-29142.07</v>
      </c>
    </row>
    <row r="44" spans="1:14" x14ac:dyDescent="0.25">
      <c r="A44" s="5" t="s">
        <v>29</v>
      </c>
      <c r="B44" s="3">
        <f>B15+B16+B25+B35+B43</f>
        <v>21492.86</v>
      </c>
      <c r="C44" s="3">
        <f t="shared" ref="C44:N44" si="8">C15+C16+C25+C35+C43</f>
        <v>135603.05999999997</v>
      </c>
      <c r="D44" s="3">
        <f t="shared" si="8"/>
        <v>69704.350000000006</v>
      </c>
      <c r="E44" s="3">
        <f t="shared" si="8"/>
        <v>44212.94999999999</v>
      </c>
      <c r="F44" s="3">
        <f t="shared" si="8"/>
        <v>55973.710000000006</v>
      </c>
      <c r="G44" s="3">
        <f t="shared" si="8"/>
        <v>334953.94</v>
      </c>
      <c r="H44" s="3">
        <f t="shared" si="8"/>
        <v>39971.53</v>
      </c>
      <c r="I44" s="3">
        <f t="shared" si="8"/>
        <v>75736.34</v>
      </c>
      <c r="J44" s="3">
        <f t="shared" si="8"/>
        <v>66101.069999999992</v>
      </c>
      <c r="K44" s="3">
        <f t="shared" si="8"/>
        <v>63223.450000000012</v>
      </c>
      <c r="L44" s="3">
        <f t="shared" si="8"/>
        <v>53871.130000000005</v>
      </c>
      <c r="M44" s="3">
        <f t="shared" si="8"/>
        <v>97769.93</v>
      </c>
      <c r="N44" s="3">
        <f t="shared" si="8"/>
        <v>1058614.32</v>
      </c>
    </row>
    <row r="45" spans="1:14" x14ac:dyDescent="0.25">
      <c r="A45" s="5" t="s">
        <v>30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5" t="s">
        <v>31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</row>
    <row r="47" spans="1:14" s="4" customFormat="1" x14ac:dyDescent="0.25">
      <c r="A47" s="6" t="s">
        <v>103</v>
      </c>
      <c r="B47" s="1"/>
      <c r="C47" s="1"/>
      <c r="D47" s="1"/>
      <c r="E47" s="1"/>
      <c r="F47" s="1"/>
      <c r="G47" s="1"/>
      <c r="H47" s="1"/>
      <c r="I47" s="2">
        <f>250</f>
        <v>250</v>
      </c>
      <c r="J47" s="2">
        <f>4085.73</f>
        <v>4085.73</v>
      </c>
      <c r="K47" s="2">
        <f>1389.91</f>
        <v>1389.91</v>
      </c>
      <c r="L47" s="2">
        <f>212.02</f>
        <v>212.02</v>
      </c>
      <c r="M47" s="2">
        <f>290.15</f>
        <v>290.14999999999998</v>
      </c>
      <c r="N47" s="2">
        <f>SUM(B47:M47)</f>
        <v>6227.8099999999995</v>
      </c>
    </row>
    <row r="48" spans="1:14" x14ac:dyDescent="0.25">
      <c r="A48" s="5" t="s">
        <v>32</v>
      </c>
      <c r="B48" s="1"/>
      <c r="C48" s="2">
        <v>7644.97</v>
      </c>
      <c r="D48" s="1"/>
      <c r="E48" s="1"/>
      <c r="F48" s="2">
        <f>16725.75</f>
        <v>16725.75</v>
      </c>
      <c r="G48" s="2">
        <f>16401.19</f>
        <v>16401.189999999999</v>
      </c>
      <c r="H48" s="2">
        <f>28874.67</f>
        <v>28874.67</v>
      </c>
      <c r="I48" s="2">
        <f>2405</f>
        <v>2405</v>
      </c>
      <c r="J48" s="1"/>
      <c r="K48" s="2">
        <f>674.65</f>
        <v>674.65</v>
      </c>
      <c r="L48" s="1"/>
      <c r="M48" s="1"/>
      <c r="N48" s="2">
        <f t="shared" ref="N48:N56" si="9">SUM(B48:M48)</f>
        <v>72726.23</v>
      </c>
    </row>
    <row r="49" spans="1:14" s="4" customFormat="1" x14ac:dyDescent="0.25">
      <c r="A49" s="6" t="s">
        <v>104</v>
      </c>
      <c r="B49" s="1"/>
      <c r="C49" s="2"/>
      <c r="D49" s="1"/>
      <c r="E49" s="1"/>
      <c r="F49" s="2">
        <f>1600</f>
        <v>1600</v>
      </c>
      <c r="G49" s="1"/>
      <c r="H49" s="1"/>
      <c r="I49" s="1"/>
      <c r="J49" s="1"/>
      <c r="K49" s="1"/>
      <c r="L49" s="1"/>
      <c r="M49" s="1"/>
      <c r="N49" s="2">
        <f t="shared" si="9"/>
        <v>1600</v>
      </c>
    </row>
    <row r="50" spans="1:14" x14ac:dyDescent="0.25">
      <c r="A50" s="5" t="s">
        <v>33</v>
      </c>
      <c r="B50" s="1"/>
      <c r="C50" s="2">
        <v>175.5</v>
      </c>
      <c r="D50" s="1"/>
      <c r="E50" s="1"/>
      <c r="F50" s="2">
        <f>91</f>
        <v>91</v>
      </c>
      <c r="G50" s="2">
        <f>13</f>
        <v>13</v>
      </c>
      <c r="H50" s="1"/>
      <c r="I50" s="1"/>
      <c r="J50" s="2">
        <f>975</f>
        <v>975</v>
      </c>
      <c r="K50" s="1"/>
      <c r="L50" s="1"/>
      <c r="M50" s="1"/>
      <c r="N50" s="2">
        <f t="shared" si="9"/>
        <v>1254.5</v>
      </c>
    </row>
    <row r="51" spans="1:14" x14ac:dyDescent="0.25">
      <c r="A51" s="5" t="s">
        <v>34</v>
      </c>
      <c r="B51" s="1"/>
      <c r="C51" s="2">
        <v>7496.06</v>
      </c>
      <c r="D51" s="2">
        <v>8377.27</v>
      </c>
      <c r="E51" s="2">
        <v>167.76</v>
      </c>
      <c r="F51" s="1"/>
      <c r="G51" s="1"/>
      <c r="H51" s="1"/>
      <c r="I51" s="1"/>
      <c r="J51" s="1"/>
      <c r="K51" s="2">
        <f>3480.69</f>
        <v>3480.69</v>
      </c>
      <c r="L51" s="2">
        <f>167.09</f>
        <v>167.09</v>
      </c>
      <c r="M51" s="1"/>
      <c r="N51" s="2">
        <f t="shared" si="9"/>
        <v>19688.870000000003</v>
      </c>
    </row>
    <row r="52" spans="1:14" x14ac:dyDescent="0.25">
      <c r="A52" s="5" t="s">
        <v>35</v>
      </c>
      <c r="B52" s="1"/>
      <c r="C52" s="2">
        <v>250</v>
      </c>
      <c r="D52" s="1"/>
      <c r="E52" s="1"/>
      <c r="F52" s="1"/>
      <c r="G52" s="1"/>
      <c r="H52" s="1"/>
      <c r="I52" s="1"/>
      <c r="J52" s="1"/>
      <c r="K52" s="1"/>
      <c r="L52" s="1"/>
      <c r="M52" s="2">
        <f>1857.48</f>
        <v>1857.48</v>
      </c>
      <c r="N52" s="2">
        <f t="shared" si="9"/>
        <v>2107.48</v>
      </c>
    </row>
    <row r="53" spans="1:14" x14ac:dyDescent="0.25">
      <c r="A53" s="5" t="s">
        <v>36</v>
      </c>
      <c r="B53" s="1"/>
      <c r="C53" s="1"/>
      <c r="D53" s="2">
        <v>91.05</v>
      </c>
      <c r="E53" s="1"/>
      <c r="F53" s="1"/>
      <c r="G53" s="1"/>
      <c r="H53" s="1"/>
      <c r="I53" s="1"/>
      <c r="J53" s="1"/>
      <c r="K53" s="1"/>
      <c r="L53" s="1"/>
      <c r="M53" s="1"/>
      <c r="N53" s="2">
        <f t="shared" si="9"/>
        <v>91.05</v>
      </c>
    </row>
    <row r="54" spans="1:14" s="4" customFormat="1" x14ac:dyDescent="0.25">
      <c r="A54" s="6" t="s">
        <v>105</v>
      </c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2">
        <f t="shared" si="9"/>
        <v>0</v>
      </c>
    </row>
    <row r="55" spans="1:14" x14ac:dyDescent="0.25">
      <c r="A55" s="5" t="s">
        <v>37</v>
      </c>
      <c r="B55" s="1"/>
      <c r="C55" s="2">
        <v>99.99</v>
      </c>
      <c r="D55" s="1"/>
      <c r="E55" s="1"/>
      <c r="F55" s="1"/>
      <c r="G55" s="2">
        <f>5607.15</f>
        <v>5607.15</v>
      </c>
      <c r="H55" s="2">
        <f>24410.98</f>
        <v>24410.98</v>
      </c>
      <c r="I55" s="2">
        <f>12876.96</f>
        <v>12876.96</v>
      </c>
      <c r="J55" s="2">
        <f>12569.68</f>
        <v>12569.68</v>
      </c>
      <c r="K55" s="2">
        <f>1230</f>
        <v>1230</v>
      </c>
      <c r="L55" s="2">
        <f>-95</f>
        <v>-95</v>
      </c>
      <c r="M55" s="2">
        <f>490</f>
        <v>490</v>
      </c>
      <c r="N55" s="2">
        <f t="shared" si="9"/>
        <v>57189.760000000002</v>
      </c>
    </row>
    <row r="56" spans="1:14" x14ac:dyDescent="0.25">
      <c r="A56" s="5" t="s">
        <v>38</v>
      </c>
      <c r="B56" s="1"/>
      <c r="C56" s="2">
        <v>16650</v>
      </c>
      <c r="D56" s="2">
        <v>-3000</v>
      </c>
      <c r="E56" s="1"/>
      <c r="F56" s="1"/>
      <c r="G56" s="1"/>
      <c r="H56" s="2">
        <f>9750</f>
        <v>9750</v>
      </c>
      <c r="I56" s="2">
        <f>-1950</f>
        <v>-1950</v>
      </c>
      <c r="J56" s="2">
        <f>-1675</f>
        <v>-1675</v>
      </c>
      <c r="K56" s="2">
        <f>5100</f>
        <v>5100</v>
      </c>
      <c r="L56" s="1"/>
      <c r="M56" s="1"/>
      <c r="N56" s="2">
        <f t="shared" si="9"/>
        <v>24875</v>
      </c>
    </row>
    <row r="57" spans="1:14" x14ac:dyDescent="0.25">
      <c r="A57" s="5" t="s">
        <v>39</v>
      </c>
      <c r="B57" s="3">
        <f>SUM(B47:B56)</f>
        <v>0</v>
      </c>
      <c r="C57" s="3">
        <f t="shared" ref="C57:M57" si="10">SUM(C47:C56)</f>
        <v>32316.52</v>
      </c>
      <c r="D57" s="3">
        <f t="shared" si="10"/>
        <v>5468.32</v>
      </c>
      <c r="E57" s="3">
        <f t="shared" si="10"/>
        <v>167.76</v>
      </c>
      <c r="F57" s="3">
        <f t="shared" si="10"/>
        <v>18416.75</v>
      </c>
      <c r="G57" s="3">
        <f t="shared" si="10"/>
        <v>22021.339999999997</v>
      </c>
      <c r="H57" s="3">
        <f t="shared" si="10"/>
        <v>63035.649999999994</v>
      </c>
      <c r="I57" s="3">
        <f t="shared" si="10"/>
        <v>13581.96</v>
      </c>
      <c r="J57" s="3">
        <f t="shared" si="10"/>
        <v>15955.41</v>
      </c>
      <c r="K57" s="3">
        <f t="shared" si="10"/>
        <v>11875.25</v>
      </c>
      <c r="L57" s="3">
        <f t="shared" si="10"/>
        <v>284.11</v>
      </c>
      <c r="M57" s="3">
        <f t="shared" si="10"/>
        <v>2637.63</v>
      </c>
      <c r="N57" s="3">
        <f>SUM(N47:N56)</f>
        <v>185760.7</v>
      </c>
    </row>
    <row r="58" spans="1:14" x14ac:dyDescent="0.25">
      <c r="A58" s="5" t="s">
        <v>40</v>
      </c>
      <c r="B58" s="3">
        <f>B44-B57</f>
        <v>21492.86</v>
      </c>
      <c r="C58" s="3">
        <f t="shared" ref="C58:M58" si="11">C44-C57</f>
        <v>103286.53999999996</v>
      </c>
      <c r="D58" s="3">
        <f t="shared" si="11"/>
        <v>64236.030000000006</v>
      </c>
      <c r="E58" s="3">
        <f t="shared" si="11"/>
        <v>44045.189999999988</v>
      </c>
      <c r="F58" s="3">
        <f t="shared" si="11"/>
        <v>37556.960000000006</v>
      </c>
      <c r="G58" s="3">
        <f t="shared" si="11"/>
        <v>312932.59999999998</v>
      </c>
      <c r="H58" s="3">
        <f t="shared" si="11"/>
        <v>-23064.119999999995</v>
      </c>
      <c r="I58" s="3">
        <f t="shared" si="11"/>
        <v>62154.38</v>
      </c>
      <c r="J58" s="3">
        <f t="shared" si="11"/>
        <v>50145.659999999989</v>
      </c>
      <c r="K58" s="3">
        <f t="shared" si="11"/>
        <v>51348.200000000012</v>
      </c>
      <c r="L58" s="3">
        <f t="shared" si="11"/>
        <v>53587.020000000004</v>
      </c>
      <c r="M58" s="3">
        <f t="shared" si="11"/>
        <v>95132.299999999988</v>
      </c>
      <c r="N58" s="3">
        <f>N44-N57</f>
        <v>872853.62000000011</v>
      </c>
    </row>
    <row r="59" spans="1:14" x14ac:dyDescent="0.25">
      <c r="A59" s="5" t="s">
        <v>41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4" customFormat="1" x14ac:dyDescent="0.25">
      <c r="A60" s="6" t="s">
        <v>106</v>
      </c>
      <c r="B60" s="1"/>
      <c r="C60" s="1"/>
      <c r="D60" s="1"/>
      <c r="E60" s="1"/>
      <c r="F60" s="2">
        <f>569.55</f>
        <v>569.54999999999995</v>
      </c>
      <c r="G60" s="2">
        <f>35</f>
        <v>35</v>
      </c>
      <c r="H60" s="1"/>
      <c r="I60" s="1"/>
      <c r="J60" s="2">
        <f>300</f>
        <v>300</v>
      </c>
      <c r="K60" s="1"/>
      <c r="L60" s="1"/>
      <c r="M60" s="2">
        <f>260</f>
        <v>260</v>
      </c>
      <c r="N60" s="2">
        <f t="shared" ref="N60:N67" si="12">SUM(B60:M60)</f>
        <v>1164.55</v>
      </c>
    </row>
    <row r="61" spans="1:14" x14ac:dyDescent="0.25">
      <c r="A61" s="5" t="s">
        <v>42</v>
      </c>
      <c r="B61" s="2">
        <v>36</v>
      </c>
      <c r="C61" s="1"/>
      <c r="D61" s="2">
        <v>-1.88</v>
      </c>
      <c r="E61" s="1"/>
      <c r="F61" s="1"/>
      <c r="G61" s="1"/>
      <c r="H61" s="1"/>
      <c r="I61" s="1"/>
      <c r="J61" s="1"/>
      <c r="K61" s="2">
        <f>103.44</f>
        <v>103.44</v>
      </c>
      <c r="L61" s="2">
        <f>0</f>
        <v>0</v>
      </c>
      <c r="M61" s="1"/>
      <c r="N61" s="2">
        <f t="shared" si="12"/>
        <v>137.56</v>
      </c>
    </row>
    <row r="62" spans="1:14" x14ac:dyDescent="0.25">
      <c r="A62" s="5" t="s">
        <v>43</v>
      </c>
      <c r="B62" s="2">
        <v>11.2</v>
      </c>
      <c r="C62" s="1"/>
      <c r="D62" s="2">
        <v>153.71</v>
      </c>
      <c r="E62" s="2">
        <v>259.16000000000003</v>
      </c>
      <c r="F62" s="2">
        <f>20.19</f>
        <v>20.190000000000001</v>
      </c>
      <c r="G62" s="2">
        <f>287.88</f>
        <v>287.88</v>
      </c>
      <c r="H62" s="2">
        <f>30.85</f>
        <v>30.85</v>
      </c>
      <c r="I62" s="2">
        <f>55.31</f>
        <v>55.31</v>
      </c>
      <c r="J62" s="2">
        <f>259.33</f>
        <v>259.33</v>
      </c>
      <c r="K62" s="2">
        <f>61.03</f>
        <v>61.03</v>
      </c>
      <c r="L62" s="2">
        <f>6.42</f>
        <v>6.42</v>
      </c>
      <c r="M62" s="2">
        <f>6.73</f>
        <v>6.73</v>
      </c>
      <c r="N62" s="2">
        <f t="shared" si="12"/>
        <v>1151.8100000000002</v>
      </c>
    </row>
    <row r="63" spans="1:14" x14ac:dyDescent="0.25">
      <c r="A63" s="5" t="s">
        <v>44</v>
      </c>
      <c r="B63" s="2">
        <v>40.950000000000003</v>
      </c>
      <c r="C63" s="2">
        <v>49.14</v>
      </c>
      <c r="D63" s="2">
        <v>43.34</v>
      </c>
      <c r="E63" s="2">
        <v>31.78</v>
      </c>
      <c r="F63" s="2">
        <f>2.28</f>
        <v>2.2799999999999998</v>
      </c>
      <c r="G63" s="2">
        <f>12.68</f>
        <v>12.68</v>
      </c>
      <c r="H63" s="2">
        <f>16.16</f>
        <v>16.16</v>
      </c>
      <c r="I63" s="2">
        <f>13.55</f>
        <v>13.55</v>
      </c>
      <c r="J63" s="2">
        <f>12.68</f>
        <v>12.68</v>
      </c>
      <c r="K63" s="2">
        <f>22.5</f>
        <v>22.5</v>
      </c>
      <c r="L63" s="2">
        <f>26.81</f>
        <v>26.81</v>
      </c>
      <c r="M63" s="2">
        <f>32.61</f>
        <v>32.61</v>
      </c>
      <c r="N63" s="2">
        <f t="shared" si="12"/>
        <v>304.48</v>
      </c>
    </row>
    <row r="64" spans="1:14" s="4" customFormat="1" x14ac:dyDescent="0.25">
      <c r="A64" s="6" t="s">
        <v>107</v>
      </c>
      <c r="B64" s="2"/>
      <c r="C64" s="2"/>
      <c r="D64" s="2"/>
      <c r="E64" s="2"/>
      <c r="F64" s="1"/>
      <c r="G64" s="1"/>
      <c r="H64" s="1"/>
      <c r="I64" s="1"/>
      <c r="J64" s="1"/>
      <c r="K64" s="1"/>
      <c r="L64" s="1"/>
      <c r="M64" s="1"/>
      <c r="N64" s="2">
        <f t="shared" si="12"/>
        <v>0</v>
      </c>
    </row>
    <row r="65" spans="1:14" x14ac:dyDescent="0.25">
      <c r="A65" s="5" t="s">
        <v>45</v>
      </c>
      <c r="B65" s="2">
        <v>7.79</v>
      </c>
      <c r="C65" s="2">
        <v>62.1</v>
      </c>
      <c r="D65" s="2">
        <v>81.8</v>
      </c>
      <c r="E65" s="2">
        <v>32.24</v>
      </c>
      <c r="F65" s="1"/>
      <c r="G65" s="1"/>
      <c r="H65" s="2">
        <f>39.06</f>
        <v>39.06</v>
      </c>
      <c r="I65" s="2">
        <f>20.38</f>
        <v>20.38</v>
      </c>
      <c r="J65" s="2">
        <f>67.86</f>
        <v>67.86</v>
      </c>
      <c r="K65" s="2">
        <f>49.47</f>
        <v>49.47</v>
      </c>
      <c r="L65" s="2">
        <f>45.9</f>
        <v>45.9</v>
      </c>
      <c r="M65" s="2">
        <f>21.28</f>
        <v>21.28</v>
      </c>
      <c r="N65" s="2">
        <f t="shared" si="12"/>
        <v>427.88</v>
      </c>
    </row>
    <row r="66" spans="1:14" x14ac:dyDescent="0.25">
      <c r="A66" s="5" t="s">
        <v>46</v>
      </c>
      <c r="B66" s="2">
        <v>535.66</v>
      </c>
      <c r="C66" s="2">
        <v>427.69</v>
      </c>
      <c r="D66" s="1"/>
      <c r="E66" s="2">
        <v>187.85</v>
      </c>
      <c r="F66" s="1"/>
      <c r="G66" s="1"/>
      <c r="H66" s="1"/>
      <c r="I66" s="1"/>
      <c r="J66" s="2">
        <f>34.95</f>
        <v>34.950000000000003</v>
      </c>
      <c r="K66" s="2">
        <f>36.95</f>
        <v>36.950000000000003</v>
      </c>
      <c r="L66" s="2">
        <f>222.94</f>
        <v>222.94</v>
      </c>
      <c r="M66" s="2">
        <f>521.72</f>
        <v>521.72</v>
      </c>
      <c r="N66" s="2">
        <f t="shared" si="12"/>
        <v>1967.76</v>
      </c>
    </row>
    <row r="67" spans="1:14" x14ac:dyDescent="0.25">
      <c r="A67" s="5" t="s">
        <v>47</v>
      </c>
      <c r="B67" s="1"/>
      <c r="C67" s="2">
        <v>808.72</v>
      </c>
      <c r="D67" s="2">
        <v>407.69</v>
      </c>
      <c r="E67" s="2">
        <v>1280.9000000000001</v>
      </c>
      <c r="F67" s="1"/>
      <c r="G67" s="1"/>
      <c r="H67" s="1"/>
      <c r="I67" s="1"/>
      <c r="J67" s="1"/>
      <c r="K67" s="2">
        <f>320.39</f>
        <v>320.39</v>
      </c>
      <c r="L67" s="1"/>
      <c r="M67" s="1"/>
      <c r="N67" s="2">
        <f t="shared" si="12"/>
        <v>2817.7000000000003</v>
      </c>
    </row>
    <row r="68" spans="1:14" x14ac:dyDescent="0.25">
      <c r="A68" s="5" t="s">
        <v>48</v>
      </c>
      <c r="B68" s="3">
        <f>SUM(B61:B67)</f>
        <v>631.6</v>
      </c>
      <c r="C68" s="3">
        <f t="shared" ref="C68:M68" si="13">SUM(C61:C67)</f>
        <v>1347.65</v>
      </c>
      <c r="D68" s="3">
        <f t="shared" si="13"/>
        <v>684.66000000000008</v>
      </c>
      <c r="E68" s="3">
        <f t="shared" si="13"/>
        <v>1791.9300000000003</v>
      </c>
      <c r="F68" s="3">
        <f t="shared" si="13"/>
        <v>22.470000000000002</v>
      </c>
      <c r="G68" s="3">
        <f t="shared" si="13"/>
        <v>300.56</v>
      </c>
      <c r="H68" s="3">
        <f t="shared" si="13"/>
        <v>86.070000000000007</v>
      </c>
      <c r="I68" s="3">
        <f t="shared" si="13"/>
        <v>89.24</v>
      </c>
      <c r="J68" s="3">
        <f t="shared" si="13"/>
        <v>374.82</v>
      </c>
      <c r="K68" s="3">
        <f t="shared" si="13"/>
        <v>593.78</v>
      </c>
      <c r="L68" s="3">
        <f t="shared" si="13"/>
        <v>302.07</v>
      </c>
      <c r="M68" s="3">
        <f t="shared" si="13"/>
        <v>582.34</v>
      </c>
      <c r="N68" s="3">
        <f>SUM(N61:N67)</f>
        <v>6807.1900000000005</v>
      </c>
    </row>
    <row r="69" spans="1:14" s="4" customFormat="1" x14ac:dyDescent="0.25">
      <c r="A69" s="6" t="s">
        <v>108</v>
      </c>
      <c r="B69" s="7"/>
      <c r="C69" s="7"/>
      <c r="D69" s="7"/>
      <c r="E69" s="7"/>
      <c r="F69" s="2">
        <f>-155.05</f>
        <v>-155.05000000000001</v>
      </c>
      <c r="G69" s="1"/>
      <c r="H69" s="1"/>
      <c r="I69" s="1"/>
      <c r="J69" s="1"/>
      <c r="K69" s="1"/>
      <c r="L69" s="1"/>
      <c r="M69" s="1"/>
      <c r="N69" s="2">
        <f>SUM(B69:M69)</f>
        <v>-155.05000000000001</v>
      </c>
    </row>
    <row r="70" spans="1:14" x14ac:dyDescent="0.25">
      <c r="A70" s="5" t="s">
        <v>49</v>
      </c>
      <c r="B70" s="1"/>
      <c r="C70" s="2">
        <v>288.94</v>
      </c>
      <c r="D70" s="2">
        <v>128.04</v>
      </c>
      <c r="E70" s="1"/>
      <c r="F70" s="1"/>
      <c r="G70" s="1"/>
      <c r="H70" s="1"/>
      <c r="I70" s="1"/>
      <c r="J70" s="1"/>
      <c r="K70" s="1"/>
      <c r="L70" s="1"/>
      <c r="M70" s="1"/>
      <c r="N70" s="2">
        <f>SUM(B70:M70)</f>
        <v>416.98</v>
      </c>
    </row>
    <row r="71" spans="1:14" x14ac:dyDescent="0.25">
      <c r="A71" s="5" t="s">
        <v>50</v>
      </c>
      <c r="B71" s="2">
        <v>47</v>
      </c>
      <c r="C71" s="2">
        <v>56</v>
      </c>
      <c r="D71" s="2">
        <v>161</v>
      </c>
      <c r="E71" s="2">
        <v>28</v>
      </c>
      <c r="F71" s="2">
        <f>105</f>
        <v>105</v>
      </c>
      <c r="G71" s="2">
        <f>14</f>
        <v>14</v>
      </c>
      <c r="H71" s="2">
        <f>56</f>
        <v>56</v>
      </c>
      <c r="I71" s="2">
        <f>28</f>
        <v>28</v>
      </c>
      <c r="J71" s="1"/>
      <c r="K71" s="2">
        <f>7</f>
        <v>7</v>
      </c>
      <c r="L71" s="1"/>
      <c r="M71" s="2">
        <f>68</f>
        <v>68</v>
      </c>
      <c r="N71" s="2">
        <f t="shared" ref="N71:N73" si="14">SUM(B71:M71)</f>
        <v>570</v>
      </c>
    </row>
    <row r="72" spans="1:14" x14ac:dyDescent="0.25">
      <c r="A72" s="5" t="s">
        <v>51</v>
      </c>
      <c r="B72" s="2">
        <v>25</v>
      </c>
      <c r="C72" s="2">
        <v>1167.0999999999999</v>
      </c>
      <c r="D72" s="1"/>
      <c r="E72" s="2">
        <v>282</v>
      </c>
      <c r="F72" s="2">
        <f>2294.08</f>
        <v>2294.08</v>
      </c>
      <c r="G72" s="2">
        <f>2788.66</f>
        <v>2788.66</v>
      </c>
      <c r="H72" s="2">
        <f>124</f>
        <v>124</v>
      </c>
      <c r="I72" s="2">
        <f>30</f>
        <v>30</v>
      </c>
      <c r="J72" s="2">
        <f>1124.5</f>
        <v>1124.5</v>
      </c>
      <c r="K72" s="2">
        <f>266</f>
        <v>266</v>
      </c>
      <c r="L72" s="1"/>
      <c r="M72" s="1"/>
      <c r="N72" s="2">
        <f t="shared" si="14"/>
        <v>8101.34</v>
      </c>
    </row>
    <row r="73" spans="1:14" x14ac:dyDescent="0.25">
      <c r="A73" s="5" t="s">
        <v>92</v>
      </c>
      <c r="B73" s="2">
        <v>0</v>
      </c>
      <c r="C73" s="1"/>
      <c r="D73" s="1"/>
      <c r="E73" s="1"/>
      <c r="F73" s="1"/>
      <c r="G73" s="1"/>
      <c r="H73" s="2">
        <f>11300</f>
        <v>11300</v>
      </c>
      <c r="I73" s="2">
        <f>6800</f>
        <v>6800</v>
      </c>
      <c r="J73" s="2">
        <f>3000</f>
        <v>3000</v>
      </c>
      <c r="K73" s="2">
        <f>18444.73</f>
        <v>18444.73</v>
      </c>
      <c r="L73" s="2">
        <f>450</f>
        <v>450</v>
      </c>
      <c r="M73" s="2">
        <f>675</f>
        <v>675</v>
      </c>
      <c r="N73" s="2">
        <f t="shared" si="14"/>
        <v>40669.729999999996</v>
      </c>
    </row>
    <row r="74" spans="1:14" x14ac:dyDescent="0.25">
      <c r="A74" s="5" t="s">
        <v>93</v>
      </c>
      <c r="B74" s="3">
        <f>SUM(B72:B73)</f>
        <v>25</v>
      </c>
      <c r="C74" s="3">
        <f t="shared" ref="C74:M74" si="15">SUM(C72:C73)</f>
        <v>1167.0999999999999</v>
      </c>
      <c r="D74" s="3">
        <f t="shared" si="15"/>
        <v>0</v>
      </c>
      <c r="E74" s="3">
        <f t="shared" si="15"/>
        <v>282</v>
      </c>
      <c r="F74" s="3">
        <f t="shared" si="15"/>
        <v>2294.08</v>
      </c>
      <c r="G74" s="3">
        <f t="shared" si="15"/>
        <v>2788.66</v>
      </c>
      <c r="H74" s="3">
        <f t="shared" si="15"/>
        <v>11424</v>
      </c>
      <c r="I74" s="3">
        <f t="shared" si="15"/>
        <v>6830</v>
      </c>
      <c r="J74" s="3">
        <f t="shared" si="15"/>
        <v>4124.5</v>
      </c>
      <c r="K74" s="3">
        <f t="shared" si="15"/>
        <v>18710.73</v>
      </c>
      <c r="L74" s="3">
        <f t="shared" si="15"/>
        <v>450</v>
      </c>
      <c r="M74" s="3">
        <f t="shared" si="15"/>
        <v>675</v>
      </c>
      <c r="N74" s="3">
        <f>SUM(N72:N73)</f>
        <v>48771.069999999992</v>
      </c>
    </row>
    <row r="75" spans="1:14" x14ac:dyDescent="0.25">
      <c r="A75" s="5" t="s">
        <v>52</v>
      </c>
      <c r="B75" s="2">
        <v>8082</v>
      </c>
      <c r="C75" s="2">
        <v>4273.75</v>
      </c>
      <c r="D75" s="2">
        <v>4970.33</v>
      </c>
      <c r="E75" s="2">
        <v>2652.2</v>
      </c>
      <c r="F75" s="2">
        <f>115</f>
        <v>115</v>
      </c>
      <c r="G75" s="2">
        <f>836.25</f>
        <v>836.25</v>
      </c>
      <c r="H75" s="2">
        <f>666.75</f>
        <v>666.75</v>
      </c>
      <c r="I75" s="2">
        <f>2623.49</f>
        <v>2623.49</v>
      </c>
      <c r="J75" s="2">
        <f>3722</f>
        <v>3722</v>
      </c>
      <c r="K75" s="2">
        <f>5741.25</f>
        <v>5741.25</v>
      </c>
      <c r="L75" s="2">
        <f>4995.5</f>
        <v>4995.5</v>
      </c>
      <c r="M75" s="2">
        <f>16549</f>
        <v>16549</v>
      </c>
      <c r="N75" s="2">
        <f>SUM(B75:M75)</f>
        <v>55227.520000000004</v>
      </c>
    </row>
    <row r="76" spans="1:14" x14ac:dyDescent="0.25">
      <c r="A76" s="5" t="s">
        <v>53</v>
      </c>
      <c r="B76" s="2">
        <v>425.7</v>
      </c>
      <c r="C76" s="2">
        <v>425.7</v>
      </c>
      <c r="D76" s="2">
        <v>425.7</v>
      </c>
      <c r="E76" s="2">
        <v>425.7</v>
      </c>
      <c r="F76" s="2">
        <f>425.68</f>
        <v>425.68</v>
      </c>
      <c r="G76" s="2">
        <f>425.68</f>
        <v>425.68</v>
      </c>
      <c r="H76" s="2">
        <f>425.68</f>
        <v>425.68</v>
      </c>
      <c r="I76" s="2">
        <f>425.68</f>
        <v>425.68</v>
      </c>
      <c r="J76" s="2">
        <f>425.68</f>
        <v>425.68</v>
      </c>
      <c r="K76" s="2">
        <f>425.7</f>
        <v>425.7</v>
      </c>
      <c r="L76" s="2">
        <f>425.7</f>
        <v>425.7</v>
      </c>
      <c r="M76" s="2">
        <f>425.7</f>
        <v>425.7</v>
      </c>
      <c r="N76" s="2">
        <f t="shared" ref="N76:N81" si="16">SUM(B76:M76)</f>
        <v>5108.2999999999993</v>
      </c>
    </row>
    <row r="77" spans="1:14" x14ac:dyDescent="0.25">
      <c r="A77" s="5" t="s">
        <v>54</v>
      </c>
      <c r="B77" s="2">
        <v>923.96</v>
      </c>
      <c r="C77" s="1"/>
      <c r="D77" s="2">
        <v>548.70000000000005</v>
      </c>
      <c r="E77" s="1"/>
      <c r="F77" s="1"/>
      <c r="G77" s="2">
        <f>926.4</f>
        <v>926.4</v>
      </c>
      <c r="H77" s="1"/>
      <c r="I77" s="1"/>
      <c r="J77" s="2">
        <f>2452.5</f>
        <v>2452.5</v>
      </c>
      <c r="K77" s="2">
        <f>492.75</f>
        <v>492.75</v>
      </c>
      <c r="L77" s="1"/>
      <c r="M77" s="2">
        <f>100.7</f>
        <v>100.7</v>
      </c>
      <c r="N77" s="2">
        <f t="shared" si="16"/>
        <v>5445.0099999999993</v>
      </c>
    </row>
    <row r="78" spans="1:14" x14ac:dyDescent="0.25">
      <c r="A78" s="5" t="s">
        <v>55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</row>
    <row r="79" spans="1:14" x14ac:dyDescent="0.25">
      <c r="A79" s="5" t="s">
        <v>56</v>
      </c>
      <c r="B79" s="2">
        <v>12500</v>
      </c>
      <c r="C79" s="2">
        <v>12500</v>
      </c>
      <c r="D79" s="2">
        <v>12500</v>
      </c>
      <c r="E79" s="2">
        <v>12500</v>
      </c>
      <c r="F79" s="2">
        <f>12500</f>
        <v>12500</v>
      </c>
      <c r="G79" s="2">
        <f>12500</f>
        <v>12500</v>
      </c>
      <c r="H79" s="2">
        <f>12500</f>
        <v>12500</v>
      </c>
      <c r="I79" s="2">
        <f>12500</f>
        <v>12500</v>
      </c>
      <c r="J79" s="2">
        <f>12500</f>
        <v>12500</v>
      </c>
      <c r="K79" s="2">
        <f>12500</f>
        <v>12500</v>
      </c>
      <c r="L79" s="2">
        <f>12500</f>
        <v>12500</v>
      </c>
      <c r="M79" s="2">
        <f>12500</f>
        <v>12500</v>
      </c>
      <c r="N79" s="2">
        <f t="shared" si="16"/>
        <v>150000</v>
      </c>
    </row>
    <row r="80" spans="1:14" x14ac:dyDescent="0.25">
      <c r="A80" s="5" t="s">
        <v>57</v>
      </c>
      <c r="B80" s="1"/>
      <c r="C80" s="1"/>
      <c r="D80" s="1"/>
      <c r="E80" s="1"/>
      <c r="F80" s="1"/>
      <c r="G80" s="2">
        <f>2000</f>
        <v>2000</v>
      </c>
      <c r="H80" s="2">
        <f>2210</f>
        <v>2210</v>
      </c>
      <c r="I80" s="2">
        <f>712.5</f>
        <v>712.5</v>
      </c>
      <c r="J80" s="2">
        <f>1562.5</f>
        <v>1562.5</v>
      </c>
      <c r="K80" s="2">
        <f>175</f>
        <v>175</v>
      </c>
      <c r="L80" s="1"/>
      <c r="M80" s="1"/>
      <c r="N80" s="2">
        <f t="shared" si="16"/>
        <v>6660</v>
      </c>
    </row>
    <row r="81" spans="1:14" x14ac:dyDescent="0.25">
      <c r="A81" s="5" t="s">
        <v>58</v>
      </c>
      <c r="B81" s="2">
        <v>1025</v>
      </c>
      <c r="C81" s="1"/>
      <c r="D81" s="2">
        <v>762.5</v>
      </c>
      <c r="E81" s="1"/>
      <c r="F81" s="1"/>
      <c r="G81" s="2">
        <f>1227</f>
        <v>1227</v>
      </c>
      <c r="H81" s="2">
        <f>1935</f>
        <v>1935</v>
      </c>
      <c r="I81" s="2">
        <f>1621</f>
        <v>1621</v>
      </c>
      <c r="J81" s="2">
        <f>252</f>
        <v>252</v>
      </c>
      <c r="K81" s="1"/>
      <c r="L81" s="1"/>
      <c r="M81" s="1"/>
      <c r="N81" s="2">
        <f t="shared" si="16"/>
        <v>6822.5</v>
      </c>
    </row>
    <row r="82" spans="1:14" x14ac:dyDescent="0.25">
      <c r="A82" s="5" t="s">
        <v>59</v>
      </c>
      <c r="B82" s="3">
        <f>SUM(B79:B81)</f>
        <v>13525</v>
      </c>
      <c r="C82" s="3">
        <f t="shared" ref="C82:M82" si="17">SUM(C79:C81)</f>
        <v>12500</v>
      </c>
      <c r="D82" s="3">
        <f t="shared" si="17"/>
        <v>13262.5</v>
      </c>
      <c r="E82" s="3">
        <f t="shared" si="17"/>
        <v>12500</v>
      </c>
      <c r="F82" s="3">
        <f t="shared" si="17"/>
        <v>12500</v>
      </c>
      <c r="G82" s="3">
        <f t="shared" si="17"/>
        <v>15727</v>
      </c>
      <c r="H82" s="3">
        <f t="shared" si="17"/>
        <v>16645</v>
      </c>
      <c r="I82" s="3">
        <f t="shared" si="17"/>
        <v>14833.5</v>
      </c>
      <c r="J82" s="3">
        <f t="shared" si="17"/>
        <v>14314.5</v>
      </c>
      <c r="K82" s="3">
        <f t="shared" si="17"/>
        <v>12675</v>
      </c>
      <c r="L82" s="3">
        <f t="shared" si="17"/>
        <v>12500</v>
      </c>
      <c r="M82" s="3">
        <f t="shared" si="17"/>
        <v>12500</v>
      </c>
      <c r="N82" s="3">
        <f>SUM(N79:N81)</f>
        <v>163482.5</v>
      </c>
    </row>
    <row r="83" spans="1:14" x14ac:dyDescent="0.25">
      <c r="A83" s="5" t="s">
        <v>60</v>
      </c>
      <c r="B83" s="2">
        <v>298.5</v>
      </c>
      <c r="C83" s="1"/>
      <c r="D83" s="1"/>
      <c r="E83" s="2">
        <v>298.5</v>
      </c>
      <c r="F83" s="1"/>
      <c r="G83" s="1"/>
      <c r="H83" s="2">
        <f>304.25</f>
        <v>304.25</v>
      </c>
      <c r="I83" s="1"/>
      <c r="J83" s="1"/>
      <c r="K83" s="2">
        <f>304.25</f>
        <v>304.25</v>
      </c>
      <c r="L83" s="1"/>
      <c r="M83" s="1"/>
      <c r="N83" s="2">
        <f t="shared" ref="N83:N114" si="18">SUM(B83:M83)</f>
        <v>1205.5</v>
      </c>
    </row>
    <row r="84" spans="1:14" s="4" customFormat="1" x14ac:dyDescent="0.25">
      <c r="A84" s="6" t="s">
        <v>109</v>
      </c>
      <c r="B84" s="2"/>
      <c r="C84" s="1"/>
      <c r="D84" s="1"/>
      <c r="E84" s="2"/>
      <c r="F84" s="1"/>
      <c r="G84" s="1"/>
      <c r="H84" s="2">
        <f>240</f>
        <v>240</v>
      </c>
      <c r="I84" s="1"/>
      <c r="J84" s="1"/>
      <c r="K84" s="1"/>
      <c r="L84" s="1"/>
      <c r="M84" s="1"/>
      <c r="N84" s="2">
        <f t="shared" si="18"/>
        <v>240</v>
      </c>
    </row>
    <row r="85" spans="1:14" x14ac:dyDescent="0.25">
      <c r="A85" s="5" t="s">
        <v>61</v>
      </c>
      <c r="B85" s="2">
        <v>34.200000000000003</v>
      </c>
      <c r="C85" s="2">
        <v>2764.68</v>
      </c>
      <c r="D85" s="2">
        <v>981</v>
      </c>
      <c r="E85" s="2">
        <v>500</v>
      </c>
      <c r="F85" s="2">
        <f>1724.43</f>
        <v>1724.43</v>
      </c>
      <c r="G85" s="2">
        <f>129.05</f>
        <v>129.05000000000001</v>
      </c>
      <c r="H85" s="1"/>
      <c r="I85" s="1"/>
      <c r="J85" s="2">
        <f>649.99</f>
        <v>649.99</v>
      </c>
      <c r="K85" s="1"/>
      <c r="L85" s="2">
        <f>299.98</f>
        <v>299.98</v>
      </c>
      <c r="M85" s="2">
        <f>1344.44</f>
        <v>1344.44</v>
      </c>
      <c r="N85" s="2">
        <f t="shared" si="18"/>
        <v>8427.77</v>
      </c>
    </row>
    <row r="86" spans="1:14" x14ac:dyDescent="0.25">
      <c r="A86" s="5" t="s">
        <v>62</v>
      </c>
      <c r="B86" s="2">
        <v>283.88</v>
      </c>
      <c r="C86" s="2">
        <v>412.93</v>
      </c>
      <c r="D86" s="2">
        <v>317.17</v>
      </c>
      <c r="E86" s="2">
        <v>157.19999999999999</v>
      </c>
      <c r="F86" s="2">
        <f>79.35</f>
        <v>79.349999999999994</v>
      </c>
      <c r="G86" s="2">
        <f>288.71</f>
        <v>288.70999999999998</v>
      </c>
      <c r="H86" s="2">
        <f>151.54</f>
        <v>151.54</v>
      </c>
      <c r="I86" s="2">
        <f>188.67</f>
        <v>188.67</v>
      </c>
      <c r="J86" s="2">
        <f>212.38</f>
        <v>212.38</v>
      </c>
      <c r="K86" s="2">
        <f>275.77</f>
        <v>275.77</v>
      </c>
      <c r="L86" s="2">
        <f>226.04</f>
        <v>226.04</v>
      </c>
      <c r="M86" s="2">
        <f>285.8</f>
        <v>285.8</v>
      </c>
      <c r="N86" s="2">
        <f t="shared" si="18"/>
        <v>2879.44</v>
      </c>
    </row>
    <row r="87" spans="1:14" x14ac:dyDescent="0.25">
      <c r="A87" s="5" t="s">
        <v>63</v>
      </c>
      <c r="B87" s="2">
        <v>713.69</v>
      </c>
      <c r="C87" s="2">
        <v>2112.77</v>
      </c>
      <c r="D87" s="2">
        <v>2265.06</v>
      </c>
      <c r="E87" s="2">
        <v>664.05</v>
      </c>
      <c r="F87" s="2">
        <f>177.09</f>
        <v>177.09</v>
      </c>
      <c r="G87" s="2">
        <f>293.92</f>
        <v>293.92</v>
      </c>
      <c r="H87" s="2">
        <f>964.65</f>
        <v>964.65</v>
      </c>
      <c r="I87" s="2">
        <f>854.62</f>
        <v>854.62</v>
      </c>
      <c r="J87" s="2">
        <f>1778.46</f>
        <v>1778.46</v>
      </c>
      <c r="K87" s="2">
        <f>642.27</f>
        <v>642.27</v>
      </c>
      <c r="L87" s="2">
        <f>690.08</f>
        <v>690.08</v>
      </c>
      <c r="M87" s="2">
        <f>662.98</f>
        <v>662.98</v>
      </c>
      <c r="N87" s="2">
        <f t="shared" si="18"/>
        <v>11819.640000000001</v>
      </c>
    </row>
    <row r="88" spans="1:14" x14ac:dyDescent="0.25">
      <c r="A88" s="5" t="s">
        <v>64</v>
      </c>
      <c r="B88" s="2">
        <v>252.28</v>
      </c>
      <c r="C88" s="2">
        <v>93.05</v>
      </c>
      <c r="D88" s="1"/>
      <c r="E88" s="2">
        <v>50</v>
      </c>
      <c r="F88" s="2">
        <f>52</f>
        <v>52</v>
      </c>
      <c r="G88" s="2">
        <f>227.17</f>
        <v>227.17</v>
      </c>
      <c r="H88" s="2">
        <f>300</f>
        <v>300</v>
      </c>
      <c r="I88" s="2">
        <f>770</f>
        <v>770</v>
      </c>
      <c r="J88" s="2">
        <f>200</f>
        <v>200</v>
      </c>
      <c r="K88" s="2">
        <f>466.74</f>
        <v>466.74</v>
      </c>
      <c r="L88" s="2">
        <f>50</f>
        <v>50</v>
      </c>
      <c r="M88" s="2">
        <f>100</f>
        <v>100</v>
      </c>
      <c r="N88" s="2">
        <f t="shared" si="18"/>
        <v>2561.2399999999998</v>
      </c>
    </row>
    <row r="89" spans="1:14" x14ac:dyDescent="0.25">
      <c r="A89" s="5" t="s">
        <v>65</v>
      </c>
      <c r="B89" s="2">
        <v>17211.52</v>
      </c>
      <c r="C89" s="2">
        <v>18708.169999999998</v>
      </c>
      <c r="D89" s="2">
        <v>17668.98</v>
      </c>
      <c r="E89" s="2">
        <v>18376.53</v>
      </c>
      <c r="F89" s="2">
        <f>14622.72</f>
        <v>14622.72</v>
      </c>
      <c r="G89" s="2">
        <f>39256.94</f>
        <v>39256.94</v>
      </c>
      <c r="H89" s="2">
        <f>43667.34</f>
        <v>43667.34</v>
      </c>
      <c r="I89" s="2">
        <f>39356.77</f>
        <v>39356.769999999997</v>
      </c>
      <c r="J89" s="2">
        <f>29742.26</f>
        <v>29742.26</v>
      </c>
      <c r="K89" s="2">
        <f>27310.09</f>
        <v>27310.09</v>
      </c>
      <c r="L89" s="2">
        <f>15853.66</f>
        <v>15853.66</v>
      </c>
      <c r="M89" s="2">
        <f>21750.63</f>
        <v>21750.63</v>
      </c>
      <c r="N89" s="2">
        <f t="shared" si="18"/>
        <v>303525.61</v>
      </c>
    </row>
    <row r="90" spans="1:14" x14ac:dyDescent="0.25">
      <c r="A90" s="5" t="s">
        <v>66</v>
      </c>
      <c r="B90" s="1"/>
      <c r="C90" s="1"/>
      <c r="D90" s="1"/>
      <c r="E90" s="2">
        <v>352.1</v>
      </c>
      <c r="F90" s="2"/>
      <c r="G90" s="2"/>
      <c r="H90" s="2"/>
      <c r="I90" s="2"/>
      <c r="J90" s="2"/>
      <c r="K90" s="2"/>
      <c r="L90" s="2"/>
      <c r="M90" s="2"/>
      <c r="N90" s="2">
        <f t="shared" si="18"/>
        <v>352.1</v>
      </c>
    </row>
    <row r="91" spans="1:14" x14ac:dyDescent="0.25">
      <c r="A91" s="5" t="s">
        <v>67</v>
      </c>
      <c r="B91" s="3">
        <f>SUM(B89:B90)</f>
        <v>17211.52</v>
      </c>
      <c r="C91" s="3">
        <f t="shared" ref="C91:M91" si="19">SUM(C89:C90)</f>
        <v>18708.169999999998</v>
      </c>
      <c r="D91" s="3">
        <f t="shared" si="19"/>
        <v>17668.98</v>
      </c>
      <c r="E91" s="3">
        <f t="shared" si="19"/>
        <v>18728.629999999997</v>
      </c>
      <c r="F91" s="3">
        <f t="shared" si="19"/>
        <v>14622.72</v>
      </c>
      <c r="G91" s="3">
        <f t="shared" si="19"/>
        <v>39256.94</v>
      </c>
      <c r="H91" s="3">
        <f t="shared" si="19"/>
        <v>43667.34</v>
      </c>
      <c r="I91" s="3">
        <f t="shared" si="19"/>
        <v>39356.769999999997</v>
      </c>
      <c r="J91" s="3">
        <f t="shared" si="19"/>
        <v>29742.26</v>
      </c>
      <c r="K91" s="3">
        <f t="shared" si="19"/>
        <v>27310.09</v>
      </c>
      <c r="L91" s="3">
        <f t="shared" si="19"/>
        <v>15853.66</v>
      </c>
      <c r="M91" s="3">
        <f t="shared" si="19"/>
        <v>21750.63</v>
      </c>
      <c r="N91" s="3">
        <f>SUM(N89:N90)</f>
        <v>303877.70999999996</v>
      </c>
    </row>
    <row r="92" spans="1:14" x14ac:dyDescent="0.25">
      <c r="A92" s="5" t="s">
        <v>68</v>
      </c>
      <c r="B92" s="2"/>
      <c r="C92" s="2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5" t="s">
        <v>69</v>
      </c>
      <c r="B93" s="2">
        <v>830.75</v>
      </c>
      <c r="C93" s="2">
        <v>830.75</v>
      </c>
      <c r="D93" s="2">
        <v>830.75</v>
      </c>
      <c r="E93" s="2">
        <v>830.75</v>
      </c>
      <c r="F93" s="2">
        <f t="shared" ref="F93:K93" si="20">830.75</f>
        <v>830.75</v>
      </c>
      <c r="G93" s="2">
        <f t="shared" si="20"/>
        <v>830.75</v>
      </c>
      <c r="H93" s="2">
        <f t="shared" si="20"/>
        <v>830.75</v>
      </c>
      <c r="I93" s="2">
        <f t="shared" si="20"/>
        <v>830.75</v>
      </c>
      <c r="J93" s="2">
        <f t="shared" si="20"/>
        <v>830.75</v>
      </c>
      <c r="K93" s="2">
        <f t="shared" si="20"/>
        <v>830.75</v>
      </c>
      <c r="L93" s="2">
        <f>860.75</f>
        <v>860.75</v>
      </c>
      <c r="M93" s="2">
        <f>830.75</f>
        <v>830.75</v>
      </c>
      <c r="N93" s="2">
        <f t="shared" si="18"/>
        <v>9999</v>
      </c>
    </row>
    <row r="94" spans="1:14" x14ac:dyDescent="0.25">
      <c r="A94" s="5" t="s">
        <v>70</v>
      </c>
      <c r="B94" s="2">
        <v>70</v>
      </c>
      <c r="C94" s="2">
        <v>70</v>
      </c>
      <c r="D94" s="2">
        <v>70</v>
      </c>
      <c r="E94" s="2">
        <v>70</v>
      </c>
      <c r="F94" s="2">
        <f>70</f>
        <v>70</v>
      </c>
      <c r="G94" s="2">
        <f>70</f>
        <v>70</v>
      </c>
      <c r="H94" s="2">
        <f>70</f>
        <v>70</v>
      </c>
      <c r="I94" s="2">
        <f>70</f>
        <v>70</v>
      </c>
      <c r="J94" s="2">
        <f>70</f>
        <v>70</v>
      </c>
      <c r="K94" s="2">
        <f>70</f>
        <v>70</v>
      </c>
      <c r="L94" s="2">
        <f>70</f>
        <v>70</v>
      </c>
      <c r="M94" s="2">
        <f>70</f>
        <v>70</v>
      </c>
      <c r="N94" s="2">
        <f t="shared" si="18"/>
        <v>840</v>
      </c>
    </row>
    <row r="95" spans="1:14" x14ac:dyDescent="0.25">
      <c r="A95" s="5" t="s">
        <v>71</v>
      </c>
      <c r="B95" s="2">
        <v>77</v>
      </c>
      <c r="C95" s="2">
        <v>77</v>
      </c>
      <c r="D95" s="2">
        <v>77</v>
      </c>
      <c r="E95" s="2">
        <v>77</v>
      </c>
      <c r="F95" s="2">
        <f>77</f>
        <v>77</v>
      </c>
      <c r="G95" s="2">
        <f>77</f>
        <v>77</v>
      </c>
      <c r="H95" s="2">
        <f>77</f>
        <v>77</v>
      </c>
      <c r="I95" s="2">
        <f>77</f>
        <v>77</v>
      </c>
      <c r="J95" s="2">
        <f>77</f>
        <v>77</v>
      </c>
      <c r="K95" s="2">
        <f>77</f>
        <v>77</v>
      </c>
      <c r="L95" s="2">
        <f>77</f>
        <v>77</v>
      </c>
      <c r="M95" s="2">
        <f>77</f>
        <v>77</v>
      </c>
      <c r="N95" s="2">
        <f t="shared" si="18"/>
        <v>924</v>
      </c>
    </row>
    <row r="96" spans="1:14" x14ac:dyDescent="0.25">
      <c r="A96" s="5" t="s">
        <v>72</v>
      </c>
      <c r="B96" s="3">
        <f>SUM(B93:B95)</f>
        <v>977.75</v>
      </c>
      <c r="C96" s="3">
        <f t="shared" ref="C96:M96" si="21">SUM(C93:C95)</f>
        <v>977.75</v>
      </c>
      <c r="D96" s="3">
        <f t="shared" si="21"/>
        <v>977.75</v>
      </c>
      <c r="E96" s="3">
        <f t="shared" si="21"/>
        <v>977.75</v>
      </c>
      <c r="F96" s="3">
        <f t="shared" si="21"/>
        <v>977.75</v>
      </c>
      <c r="G96" s="3">
        <f t="shared" si="21"/>
        <v>977.75</v>
      </c>
      <c r="H96" s="3">
        <f t="shared" si="21"/>
        <v>977.75</v>
      </c>
      <c r="I96" s="3">
        <f t="shared" si="21"/>
        <v>977.75</v>
      </c>
      <c r="J96" s="3">
        <f t="shared" si="21"/>
        <v>977.75</v>
      </c>
      <c r="K96" s="3">
        <f t="shared" si="21"/>
        <v>977.75</v>
      </c>
      <c r="L96" s="3">
        <f t="shared" si="21"/>
        <v>1007.75</v>
      </c>
      <c r="M96" s="3">
        <f t="shared" si="21"/>
        <v>977.75</v>
      </c>
      <c r="N96" s="3">
        <f>SUM(N93:N95)</f>
        <v>11763</v>
      </c>
    </row>
    <row r="97" spans="1:14" x14ac:dyDescent="0.25">
      <c r="A97" s="5" t="s">
        <v>73</v>
      </c>
      <c r="B97" s="1"/>
      <c r="C97" s="2"/>
      <c r="D97" s="2"/>
      <c r="E97" s="2"/>
      <c r="F97" s="1"/>
      <c r="G97" s="1"/>
      <c r="H97" s="1"/>
      <c r="I97" s="1"/>
      <c r="J97" s="1"/>
      <c r="K97" s="1"/>
      <c r="L97" s="1"/>
      <c r="M97" s="1"/>
      <c r="N97" s="2"/>
    </row>
    <row r="98" spans="1:14" x14ac:dyDescent="0.25">
      <c r="A98" s="5" t="s">
        <v>74</v>
      </c>
      <c r="B98" s="2">
        <v>1991.48</v>
      </c>
      <c r="C98" s="2">
        <v>2168.6999999999998</v>
      </c>
      <c r="D98" s="2">
        <v>2024.95</v>
      </c>
      <c r="E98" s="2">
        <v>2098.1799999999998</v>
      </c>
      <c r="F98" s="2">
        <f>1780.37</f>
        <v>1780.37</v>
      </c>
      <c r="G98" s="2">
        <f>3790.95</f>
        <v>3790.95</v>
      </c>
      <c r="H98" s="2">
        <f>4303.29</f>
        <v>4303.29</v>
      </c>
      <c r="I98" s="2">
        <f>3622.75</f>
        <v>3622.75</v>
      </c>
      <c r="J98" s="2">
        <f>2899.73</f>
        <v>2899.73</v>
      </c>
      <c r="K98" s="2">
        <f>2731.68</f>
        <v>2731.68</v>
      </c>
      <c r="L98" s="2">
        <f>1836.3</f>
        <v>1836.3</v>
      </c>
      <c r="M98" s="2">
        <f>2615.7</f>
        <v>2615.6999999999998</v>
      </c>
      <c r="N98" s="2">
        <f t="shared" si="18"/>
        <v>31864.080000000002</v>
      </c>
    </row>
    <row r="99" spans="1:14" x14ac:dyDescent="0.25">
      <c r="A99" s="5" t="s">
        <v>75</v>
      </c>
      <c r="B99" s="2">
        <v>152.34</v>
      </c>
      <c r="C99" s="2">
        <v>164.22</v>
      </c>
      <c r="D99" s="2">
        <v>119.83</v>
      </c>
      <c r="E99" s="2">
        <v>685.18</v>
      </c>
      <c r="F99" s="2">
        <f>311.69</f>
        <v>311.69</v>
      </c>
      <c r="G99" s="2">
        <f>801.22</f>
        <v>801.22</v>
      </c>
      <c r="H99" s="2">
        <f>774.55</f>
        <v>774.55</v>
      </c>
      <c r="I99" s="2">
        <f>801.8</f>
        <v>801.8</v>
      </c>
      <c r="J99" s="2">
        <f>280.38</f>
        <v>280.38</v>
      </c>
      <c r="K99" s="2">
        <f>572.68</f>
        <v>572.67999999999995</v>
      </c>
      <c r="L99" s="2">
        <f>180.49</f>
        <v>180.49</v>
      </c>
      <c r="M99" s="2">
        <f>172.96</f>
        <v>172.96</v>
      </c>
      <c r="N99" s="2">
        <f t="shared" si="18"/>
        <v>5017.34</v>
      </c>
    </row>
    <row r="100" spans="1:14" x14ac:dyDescent="0.25">
      <c r="A100" s="5" t="s">
        <v>76</v>
      </c>
      <c r="B100" s="3">
        <f>SUM(B98:B99)</f>
        <v>2143.8200000000002</v>
      </c>
      <c r="C100" s="3">
        <f t="shared" ref="C100:M100" si="22">SUM(C98:C99)</f>
        <v>2332.9199999999996</v>
      </c>
      <c r="D100" s="3">
        <f t="shared" si="22"/>
        <v>2144.7800000000002</v>
      </c>
      <c r="E100" s="3">
        <f t="shared" si="22"/>
        <v>2783.3599999999997</v>
      </c>
      <c r="F100" s="3">
        <f t="shared" si="22"/>
        <v>2092.06</v>
      </c>
      <c r="G100" s="3">
        <f t="shared" si="22"/>
        <v>4592.17</v>
      </c>
      <c r="H100" s="3">
        <f t="shared" si="22"/>
        <v>5077.84</v>
      </c>
      <c r="I100" s="3">
        <f t="shared" si="22"/>
        <v>4424.55</v>
      </c>
      <c r="J100" s="3">
        <f t="shared" si="22"/>
        <v>3180.11</v>
      </c>
      <c r="K100" s="3">
        <f t="shared" si="22"/>
        <v>3304.3599999999997</v>
      </c>
      <c r="L100" s="3">
        <f t="shared" si="22"/>
        <v>2016.79</v>
      </c>
      <c r="M100" s="3">
        <f t="shared" si="22"/>
        <v>2788.66</v>
      </c>
      <c r="N100" s="3">
        <f>SUM(N98:N99)</f>
        <v>36881.42</v>
      </c>
    </row>
    <row r="101" spans="1:14" x14ac:dyDescent="0.25">
      <c r="A101" s="5" t="s">
        <v>77</v>
      </c>
      <c r="B101" s="2">
        <v>8400</v>
      </c>
      <c r="C101" s="2">
        <v>9640</v>
      </c>
      <c r="D101" s="2">
        <v>8800</v>
      </c>
      <c r="E101" s="2">
        <v>8800</v>
      </c>
      <c r="F101" s="2">
        <f>8000</f>
        <v>8000</v>
      </c>
      <c r="G101" s="2">
        <f>8000</f>
        <v>8000</v>
      </c>
      <c r="H101" s="2">
        <f>12000</f>
        <v>12000</v>
      </c>
      <c r="I101" s="2">
        <f>8000</f>
        <v>8000</v>
      </c>
      <c r="J101" s="2">
        <f>8000</f>
        <v>8000</v>
      </c>
      <c r="K101" s="2">
        <f>8000</f>
        <v>8000</v>
      </c>
      <c r="L101" s="2">
        <f>8000</f>
        <v>8000</v>
      </c>
      <c r="M101" s="2">
        <f>11600</f>
        <v>11600</v>
      </c>
      <c r="N101" s="2">
        <f t="shared" si="18"/>
        <v>107240</v>
      </c>
    </row>
    <row r="102" spans="1:14" x14ac:dyDescent="0.25">
      <c r="A102" s="5" t="s">
        <v>78</v>
      </c>
      <c r="B102" s="2">
        <v>277.5</v>
      </c>
      <c r="C102" s="1"/>
      <c r="D102" s="1"/>
      <c r="E102" s="2">
        <v>250</v>
      </c>
      <c r="F102" s="2">
        <f>650</f>
        <v>650</v>
      </c>
      <c r="G102" s="2">
        <f>2298.75</f>
        <v>2298.75</v>
      </c>
      <c r="H102" s="2">
        <f>583.75</f>
        <v>583.75</v>
      </c>
      <c r="I102" s="1"/>
      <c r="J102" s="2">
        <f>162.5</f>
        <v>162.5</v>
      </c>
      <c r="K102" s="2">
        <f>398.75</f>
        <v>398.75</v>
      </c>
      <c r="L102" s="2">
        <f>150</f>
        <v>150</v>
      </c>
      <c r="M102" s="2">
        <f>985</f>
        <v>985</v>
      </c>
      <c r="N102" s="2">
        <f t="shared" si="18"/>
        <v>5756.25</v>
      </c>
    </row>
    <row r="103" spans="1:14" x14ac:dyDescent="0.25">
      <c r="A103" s="5" t="s">
        <v>79</v>
      </c>
      <c r="B103" s="3">
        <f>SUM(B101:B102)</f>
        <v>8677.5</v>
      </c>
      <c r="C103" s="3">
        <f t="shared" ref="C103:M103" si="23">SUM(C101:C102)</f>
        <v>9640</v>
      </c>
      <c r="D103" s="3">
        <f t="shared" si="23"/>
        <v>8800</v>
      </c>
      <c r="E103" s="3">
        <f t="shared" si="23"/>
        <v>9050</v>
      </c>
      <c r="F103" s="3">
        <f t="shared" si="23"/>
        <v>8650</v>
      </c>
      <c r="G103" s="3">
        <f t="shared" si="23"/>
        <v>10298.75</v>
      </c>
      <c r="H103" s="3">
        <f t="shared" si="23"/>
        <v>12583.75</v>
      </c>
      <c r="I103" s="3">
        <f t="shared" si="23"/>
        <v>8000</v>
      </c>
      <c r="J103" s="3">
        <f t="shared" si="23"/>
        <v>8162.5</v>
      </c>
      <c r="K103" s="3">
        <f t="shared" si="23"/>
        <v>8398.75</v>
      </c>
      <c r="L103" s="3">
        <f t="shared" si="23"/>
        <v>8150</v>
      </c>
      <c r="M103" s="3">
        <f t="shared" si="23"/>
        <v>12585</v>
      </c>
      <c r="N103" s="3">
        <f>SUM(N101:N102)</f>
        <v>112996.25</v>
      </c>
    </row>
    <row r="104" spans="1:14" x14ac:dyDescent="0.25">
      <c r="A104" s="5" t="s">
        <v>80</v>
      </c>
      <c r="B104" s="2">
        <v>900</v>
      </c>
      <c r="C104" s="2">
        <v>900</v>
      </c>
      <c r="D104" s="2">
        <v>900</v>
      </c>
      <c r="E104" s="2">
        <v>900</v>
      </c>
      <c r="F104" s="2">
        <f>625</f>
        <v>625</v>
      </c>
      <c r="G104" s="2">
        <f>3625</f>
        <v>3625</v>
      </c>
      <c r="H104" s="2">
        <f>2125</f>
        <v>2125</v>
      </c>
      <c r="I104" s="2">
        <f>625</f>
        <v>625</v>
      </c>
      <c r="J104" s="2">
        <f>900</f>
        <v>900</v>
      </c>
      <c r="K104" s="2">
        <f>900</f>
        <v>900</v>
      </c>
      <c r="L104" s="2">
        <f>900</f>
        <v>900</v>
      </c>
      <c r="M104" s="2">
        <f>900</f>
        <v>900</v>
      </c>
      <c r="N104" s="2">
        <f>SUM(B104:M104)</f>
        <v>14200</v>
      </c>
    </row>
    <row r="105" spans="1:14" x14ac:dyDescent="0.25">
      <c r="A105" s="5" t="s">
        <v>81</v>
      </c>
      <c r="B105" s="2">
        <v>2417.96</v>
      </c>
      <c r="C105" s="2">
        <v>525.51</v>
      </c>
      <c r="D105" s="2">
        <v>2874.85</v>
      </c>
      <c r="E105" s="1"/>
      <c r="F105" s="1"/>
      <c r="G105" s="2">
        <f>498.5</f>
        <v>498.5</v>
      </c>
      <c r="H105" s="1"/>
      <c r="I105" s="1"/>
      <c r="J105" s="2">
        <f>1505.44</f>
        <v>1505.44</v>
      </c>
      <c r="K105" s="2">
        <f>193.64</f>
        <v>193.64</v>
      </c>
      <c r="L105" s="2">
        <f>146.55</f>
        <v>146.55000000000001</v>
      </c>
      <c r="M105" s="2">
        <f>2042.13</f>
        <v>2042.13</v>
      </c>
      <c r="N105" s="2">
        <f t="shared" si="18"/>
        <v>10204.580000000002</v>
      </c>
    </row>
    <row r="106" spans="1:14" x14ac:dyDescent="0.25">
      <c r="A106" s="5" t="s">
        <v>82</v>
      </c>
      <c r="B106" s="2">
        <v>119.24</v>
      </c>
      <c r="C106" s="2">
        <v>257.43</v>
      </c>
      <c r="D106" s="2">
        <v>253.6</v>
      </c>
      <c r="E106" s="2">
        <v>183.66</v>
      </c>
      <c r="F106" s="2">
        <f>325.58</f>
        <v>325.58</v>
      </c>
      <c r="G106" s="2">
        <f>970.09</f>
        <v>970.09</v>
      </c>
      <c r="H106" s="2">
        <f>445.88</f>
        <v>445.88</v>
      </c>
      <c r="I106" s="2">
        <f>1506.16</f>
        <v>1506.16</v>
      </c>
      <c r="J106" s="2">
        <f>243.53</f>
        <v>243.53</v>
      </c>
      <c r="K106" s="2">
        <f>103.06</f>
        <v>103.06</v>
      </c>
      <c r="L106" s="2">
        <f>192.65</f>
        <v>192.65</v>
      </c>
      <c r="M106" s="2">
        <f>296.55</f>
        <v>296.55</v>
      </c>
      <c r="N106" s="2">
        <f t="shared" si="18"/>
        <v>4897.43</v>
      </c>
    </row>
    <row r="107" spans="1:14" x14ac:dyDescent="0.25">
      <c r="A107" s="5" t="s">
        <v>83</v>
      </c>
      <c r="B107" s="2">
        <v>133.84</v>
      </c>
      <c r="C107" s="2">
        <v>222.32</v>
      </c>
      <c r="D107" s="2">
        <v>68.319999999999993</v>
      </c>
      <c r="E107" s="2">
        <v>58.24</v>
      </c>
      <c r="F107" s="2">
        <f>125.44</f>
        <v>125.44</v>
      </c>
      <c r="G107" s="2">
        <f>233.66</f>
        <v>233.66</v>
      </c>
      <c r="H107" s="2">
        <f>99.68</f>
        <v>99.68</v>
      </c>
      <c r="I107" s="2">
        <f>17.92</f>
        <v>17.920000000000002</v>
      </c>
      <c r="J107" s="2">
        <f>220.64</f>
        <v>220.64</v>
      </c>
      <c r="K107" s="2">
        <f>353.92</f>
        <v>353.92</v>
      </c>
      <c r="L107" s="2">
        <f>162.83</f>
        <v>162.83000000000001</v>
      </c>
      <c r="M107" s="2">
        <f>130.48</f>
        <v>130.47999999999999</v>
      </c>
      <c r="N107" s="2">
        <f t="shared" si="18"/>
        <v>1827.29</v>
      </c>
    </row>
    <row r="108" spans="1:14" x14ac:dyDescent="0.25">
      <c r="A108" s="5" t="s">
        <v>84</v>
      </c>
      <c r="B108" s="2">
        <v>816.71</v>
      </c>
      <c r="C108" s="2">
        <v>816.71</v>
      </c>
      <c r="D108" s="2">
        <v>816.71</v>
      </c>
      <c r="E108" s="2">
        <v>816.71</v>
      </c>
      <c r="F108" s="2">
        <f>577.33</f>
        <v>577.33000000000004</v>
      </c>
      <c r="G108" s="2">
        <f>577.33</f>
        <v>577.33000000000004</v>
      </c>
      <c r="H108" s="2">
        <f>577.33</f>
        <v>577.33000000000004</v>
      </c>
      <c r="I108" s="2">
        <f>577.33</f>
        <v>577.33000000000004</v>
      </c>
      <c r="J108" s="2">
        <f>577.34</f>
        <v>577.34</v>
      </c>
      <c r="K108" s="2">
        <f>1055.33</f>
        <v>1055.33</v>
      </c>
      <c r="L108" s="2">
        <f>816.71</f>
        <v>816.71</v>
      </c>
      <c r="M108" s="2">
        <f>816.71</f>
        <v>816.71</v>
      </c>
      <c r="N108" s="2">
        <f t="shared" si="18"/>
        <v>8842.25</v>
      </c>
    </row>
    <row r="109" spans="1:14" x14ac:dyDescent="0.25">
      <c r="A109" s="5" t="s">
        <v>85</v>
      </c>
      <c r="B109" s="2">
        <v>218</v>
      </c>
      <c r="C109" s="2">
        <v>253</v>
      </c>
      <c r="D109" s="2">
        <v>316</v>
      </c>
      <c r="E109" s="2">
        <v>22</v>
      </c>
      <c r="F109" s="2">
        <f>688</f>
        <v>688</v>
      </c>
      <c r="G109" s="2">
        <f>441</f>
        <v>441</v>
      </c>
      <c r="H109" s="2">
        <f>290</f>
        <v>290</v>
      </c>
      <c r="I109" s="2">
        <f>450</f>
        <v>450</v>
      </c>
      <c r="J109" s="2">
        <f>281</f>
        <v>281</v>
      </c>
      <c r="K109" s="2">
        <f>406</f>
        <v>406</v>
      </c>
      <c r="L109" s="2">
        <f>843</f>
        <v>843</v>
      </c>
      <c r="M109" s="2">
        <f>496</f>
        <v>496</v>
      </c>
      <c r="N109" s="2">
        <f t="shared" si="18"/>
        <v>4704</v>
      </c>
    </row>
    <row r="110" spans="1:14" x14ac:dyDescent="0.25">
      <c r="A110" s="5" t="s">
        <v>86</v>
      </c>
      <c r="B110" s="2">
        <v>911.62</v>
      </c>
      <c r="C110" s="2">
        <v>913.38</v>
      </c>
      <c r="D110" s="2">
        <v>860.26</v>
      </c>
      <c r="E110" s="2">
        <v>287.97000000000003</v>
      </c>
      <c r="F110" s="2">
        <f>1610.56</f>
        <v>1610.56</v>
      </c>
      <c r="G110" s="2">
        <f>6958.48</f>
        <v>6958.48</v>
      </c>
      <c r="H110" s="2">
        <f>2119.08</f>
        <v>2119.08</v>
      </c>
      <c r="I110" s="2">
        <f>3101.41</f>
        <v>3101.41</v>
      </c>
      <c r="J110" s="2">
        <f>1075.03</f>
        <v>1075.03</v>
      </c>
      <c r="K110" s="2">
        <f>605.62</f>
        <v>605.62</v>
      </c>
      <c r="L110" s="2">
        <f>2693.61</f>
        <v>2693.61</v>
      </c>
      <c r="M110" s="2">
        <f>2200.77</f>
        <v>2200.77</v>
      </c>
      <c r="N110" s="2">
        <f t="shared" si="18"/>
        <v>23337.79</v>
      </c>
    </row>
    <row r="111" spans="1:14" s="4" customFormat="1" x14ac:dyDescent="0.25">
      <c r="A111" s="6" t="s">
        <v>110</v>
      </c>
      <c r="B111" s="2"/>
      <c r="C111" s="2"/>
      <c r="D111" s="2"/>
      <c r="E111" s="2"/>
      <c r="F111" s="2">
        <f>344.43</f>
        <v>344.43</v>
      </c>
      <c r="G111" s="1"/>
      <c r="H111" s="2">
        <f>10.71</f>
        <v>10.71</v>
      </c>
      <c r="I111" s="2">
        <f>118.77</f>
        <v>118.77</v>
      </c>
      <c r="J111" s="1"/>
      <c r="K111" s="1"/>
      <c r="L111" s="1"/>
      <c r="M111" s="1"/>
      <c r="N111" s="2">
        <f t="shared" si="18"/>
        <v>473.90999999999997</v>
      </c>
    </row>
    <row r="112" spans="1:14" x14ac:dyDescent="0.25">
      <c r="A112" s="5" t="s">
        <v>87</v>
      </c>
      <c r="B112" s="2">
        <v>197.55</v>
      </c>
      <c r="C112" s="2">
        <v>197.55</v>
      </c>
      <c r="D112" s="2">
        <v>190.55</v>
      </c>
      <c r="E112" s="2">
        <v>116.84</v>
      </c>
      <c r="F112" s="2">
        <f>137.19</f>
        <v>137.19</v>
      </c>
      <c r="G112" s="2">
        <f>175.6</f>
        <v>175.6</v>
      </c>
      <c r="H112" s="2">
        <f>218.61</f>
        <v>218.61</v>
      </c>
      <c r="I112" s="2">
        <f>181.08</f>
        <v>181.08</v>
      </c>
      <c r="J112" s="2">
        <f>181.08</f>
        <v>181.08</v>
      </c>
      <c r="K112" s="2">
        <f>186.57</f>
        <v>186.57</v>
      </c>
      <c r="L112" s="2">
        <f>189.32</f>
        <v>189.32</v>
      </c>
      <c r="M112" s="2">
        <f>192.06</f>
        <v>192.06</v>
      </c>
      <c r="N112" s="2">
        <f t="shared" si="18"/>
        <v>2164</v>
      </c>
    </row>
    <row r="113" spans="1:14" x14ac:dyDescent="0.25">
      <c r="A113" s="5" t="s">
        <v>88</v>
      </c>
      <c r="B113" s="2">
        <v>94</v>
      </c>
      <c r="C113" s="2">
        <v>92</v>
      </c>
      <c r="D113" s="2">
        <v>92</v>
      </c>
      <c r="E113" s="2">
        <v>88</v>
      </c>
      <c r="F113" s="2">
        <f>-66</f>
        <v>-66</v>
      </c>
      <c r="G113" s="2">
        <f>-400</f>
        <v>-400</v>
      </c>
      <c r="H113" s="2">
        <f>322</f>
        <v>322</v>
      </c>
      <c r="I113" s="2">
        <f>327</f>
        <v>327</v>
      </c>
      <c r="J113" s="2">
        <f>-3</f>
        <v>-3</v>
      </c>
      <c r="K113" s="2">
        <f>14</f>
        <v>14</v>
      </c>
      <c r="L113" s="1"/>
      <c r="M113" s="2">
        <f>2</f>
        <v>2</v>
      </c>
      <c r="N113" s="2">
        <f t="shared" si="18"/>
        <v>562</v>
      </c>
    </row>
    <row r="114" spans="1:14" s="4" customFormat="1" x14ac:dyDescent="0.25">
      <c r="A114" s="6" t="s">
        <v>111</v>
      </c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>
        <f>270</f>
        <v>270</v>
      </c>
      <c r="M114" s="1"/>
      <c r="N114" s="2">
        <f t="shared" si="18"/>
        <v>270</v>
      </c>
    </row>
    <row r="115" spans="1:14" x14ac:dyDescent="0.25">
      <c r="A115" s="5" t="s">
        <v>89</v>
      </c>
      <c r="B115" s="3">
        <f>SUM(B60,B68:B71,B74,B75:B77,B82:B88,B91,B96,B100,B103,B104:B114)</f>
        <v>60062.32</v>
      </c>
      <c r="C115" s="3">
        <f t="shared" ref="C115:M115" si="24">SUM(C60,C68:C71,C74,C75:C77,C82:C88,C91,C96,C100,C103,C104:C114)</f>
        <v>61279.31</v>
      </c>
      <c r="D115" s="3">
        <f t="shared" si="24"/>
        <v>59707.96</v>
      </c>
      <c r="E115" s="3">
        <f t="shared" si="24"/>
        <v>53362.74</v>
      </c>
      <c r="F115" s="3">
        <f t="shared" si="24"/>
        <v>48619.66</v>
      </c>
      <c r="G115" s="3">
        <f t="shared" si="24"/>
        <v>90197.67</v>
      </c>
      <c r="H115" s="3">
        <f t="shared" si="24"/>
        <v>99778.91</v>
      </c>
      <c r="I115" s="3">
        <f t="shared" si="24"/>
        <v>86306.940000000017</v>
      </c>
      <c r="J115" s="3">
        <f t="shared" si="24"/>
        <v>75598.509999999995</v>
      </c>
      <c r="K115" s="3">
        <f t="shared" si="24"/>
        <v>84144.329999999987</v>
      </c>
      <c r="L115" s="3">
        <f t="shared" si="24"/>
        <v>53182.240000000005</v>
      </c>
      <c r="M115" s="3">
        <f t="shared" si="24"/>
        <v>78732.700000000026</v>
      </c>
      <c r="N115" s="3">
        <f>SUM(N60,N68:N71,N74,N75:N77,N82:N88,N91,N96,N100,N103,N104:N114)</f>
        <v>850973.29000000015</v>
      </c>
    </row>
    <row r="116" spans="1:14" x14ac:dyDescent="0.25">
      <c r="A116" s="5" t="s">
        <v>90</v>
      </c>
      <c r="B116" s="3">
        <f>B58-B115</f>
        <v>-38569.46</v>
      </c>
      <c r="C116" s="3">
        <f t="shared" ref="C116:N116" si="25">C58-C115</f>
        <v>42007.229999999967</v>
      </c>
      <c r="D116" s="3">
        <f t="shared" si="25"/>
        <v>4528.070000000007</v>
      </c>
      <c r="E116" s="3">
        <f t="shared" si="25"/>
        <v>-9317.5500000000102</v>
      </c>
      <c r="F116" s="3">
        <f t="shared" si="25"/>
        <v>-11062.699999999997</v>
      </c>
      <c r="G116" s="3">
        <f t="shared" si="25"/>
        <v>222734.93</v>
      </c>
      <c r="H116" s="3">
        <f t="shared" si="25"/>
        <v>-122843.03</v>
      </c>
      <c r="I116" s="3">
        <f t="shared" si="25"/>
        <v>-24152.560000000019</v>
      </c>
      <c r="J116" s="3">
        <f t="shared" si="25"/>
        <v>-25452.850000000006</v>
      </c>
      <c r="K116" s="3">
        <f t="shared" si="25"/>
        <v>-32796.129999999976</v>
      </c>
      <c r="L116" s="3">
        <f t="shared" si="25"/>
        <v>404.77999999999884</v>
      </c>
      <c r="M116" s="3">
        <f t="shared" si="25"/>
        <v>16399.599999999962</v>
      </c>
      <c r="N116" s="3">
        <f t="shared" si="25"/>
        <v>21880.329999999958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7660D6689AAB4FA7DDFC9DB162F0D0" ma:contentTypeVersion="10" ma:contentTypeDescription="Create a new document." ma:contentTypeScope="" ma:versionID="3e9bbe6dfe2fb74251a03ca644af7101">
  <xsd:schema xmlns:xsd="http://www.w3.org/2001/XMLSchema" xmlns:xs="http://www.w3.org/2001/XMLSchema" xmlns:p="http://schemas.microsoft.com/office/2006/metadata/properties" xmlns:ns2="cc6812c1-eea8-432d-bfdd-bd9ee56389d7" targetNamespace="http://schemas.microsoft.com/office/2006/metadata/properties" ma:root="true" ma:fieldsID="2472659400709d34bd4dcd61f99dc049" ns2:_="">
    <xsd:import namespace="cc6812c1-eea8-432d-bfdd-bd9ee56389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812c1-eea8-432d-bfdd-bd9ee56389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A1A7C0-5F1E-4642-A8B9-2425E8FAE7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812c1-eea8-432d-bfdd-bd9ee56389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0833D0-7B49-445D-A086-986FD3E1428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FA907F5-BE62-4817-A01B-5A1FD55761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vs. Actuals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Lance Akridge</cp:lastModifiedBy>
  <dcterms:created xsi:type="dcterms:W3CDTF">2022-03-23T21:26:56Z</dcterms:created>
  <dcterms:modified xsi:type="dcterms:W3CDTF">2022-03-30T20:28:56Z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0x010100DD7660D6689AAB4FA7DDFC9DB162F0D0</vt:lpwstr>
  </property>
</Properties>
</file>