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levelcdc-my.sharepoint.com/personal/gloria_nlcdc_com/Documents/Documents/Budget/"/>
    </mc:Choice>
  </mc:AlternateContent>
  <xr:revisionPtr revIDLastSave="1" documentId="8_{4B3F52AE-DC9A-4798-8678-2B83508FF8C5}" xr6:coauthVersionLast="47" xr6:coauthVersionMax="47" xr10:uidLastSave="{905D757C-06C9-48A5-BCCF-A8600C674C31}"/>
  <bookViews>
    <workbookView xWindow="-110" yWindow="-110" windowWidth="19420" windowHeight="10420" xr2:uid="{00000000-000D-0000-FFFF-FFFF00000000}"/>
  </bookViews>
  <sheets>
    <sheet name="sfa budget" sheetId="1" r:id="rId1"/>
    <sheet name="staff" sheetId="3" r:id="rId2"/>
    <sheet name="Deal estimates" sheetId="4" r:id="rId3"/>
  </sheets>
  <definedNames>
    <definedName name="_xlnm.Print_Titles" localSheetId="0">'sfa budget'!$A:$G,'sfa budget'!$2:$2</definedName>
    <definedName name="QB_COLUMN_290" localSheetId="0" hidden="1">'sfa budget'!#REF!</definedName>
    <definedName name="QB_COLUMN_76201" localSheetId="0" hidden="1">'sfa budget'!#REF!</definedName>
    <definedName name="QB_COLUMN_762010" localSheetId="0" hidden="1">'sfa budget'!#REF!</definedName>
    <definedName name="QB_COLUMN_762011" localSheetId="0" hidden="1">'sfa budget'!#REF!</definedName>
    <definedName name="QB_COLUMN_762012" localSheetId="0" hidden="1">'sfa budget'!#REF!</definedName>
    <definedName name="QB_COLUMN_76202" localSheetId="0" hidden="1">'sfa budget'!#REF!</definedName>
    <definedName name="QB_COLUMN_76203" localSheetId="0" hidden="1">'sfa budget'!#REF!</definedName>
    <definedName name="QB_COLUMN_76204" localSheetId="0" hidden="1">'sfa budget'!#REF!</definedName>
    <definedName name="QB_COLUMN_76205" localSheetId="0" hidden="1">'sfa budget'!#REF!</definedName>
    <definedName name="QB_COLUMN_76206" localSheetId="0" hidden="1">'sfa budget'!#REF!</definedName>
    <definedName name="QB_COLUMN_76207" localSheetId="0" hidden="1">'sfa budget'!#REF!</definedName>
    <definedName name="QB_COLUMN_76208" localSheetId="0" hidden="1">'sfa budget'!#REF!</definedName>
    <definedName name="QB_COLUMN_76209" localSheetId="0" hidden="1">'sfa budget'!#REF!</definedName>
    <definedName name="QB_COLUMN_76300" localSheetId="0" hidden="1">'sfa budget'!#REF!</definedName>
    <definedName name="QB_DATA_0" localSheetId="0" hidden="1">'sfa budget'!$4:$4,'sfa budget'!$5:$5,'sfa budget'!$6:$6,'sfa budget'!$9:$9,'sfa budget'!$10:$10,'sfa budget'!$11:$11,'sfa budget'!$12:$12,'sfa budget'!$15:$15,'sfa budget'!$16:$16,'sfa budget'!$17:$17,'sfa budget'!$18:$18,'sfa budget'!$22:$22,'sfa budget'!$23:$23,'sfa budget'!$24:$24,'sfa budget'!$26:$26,'sfa budget'!$30:$30</definedName>
    <definedName name="QB_DATA_1" localSheetId="0" hidden="1">'sfa budget'!$32:$32,'sfa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DATA_2" localSheetId="0" hidden="1">'sfa budget'!#REF!,'sfa budget'!#REF!,'sfa budget'!#REF!,'sfa budget'!#REF!,'sfa budget'!#REF!,'sfa budget'!#REF!,'sfa budget'!#REF!,'sfa budget'!#REF!,'sfa budget'!$35:$35,'sfa budget'!#REF!,'sfa budget'!$41:$41,'sfa budget'!$45:$45,'sfa budget'!$46:$46,'sfa budget'!$47:$47,'sfa budget'!$48:$48,'sfa budget'!$49:$49</definedName>
    <definedName name="QB_DATA_3" localSheetId="0" hidden="1">'sfa budget'!$50:$50,'sfa budget'!$52:$52,'sfa budget'!$57:$57,'sfa budget'!#REF!,'sfa budget'!$60:$60,'sfa budget'!$62:$62,'sfa budget'!$64:$64,'sfa budget'!$68:$68,'sfa budget'!$69:$69,'sfa budget'!$70:$70,'sfa budget'!$82:$82,'sfa budget'!$75:$75,'sfa budget'!$78:$78,'sfa budget'!$81:$81,'sfa budget'!$84:$84,'sfa budget'!$89:$89</definedName>
    <definedName name="QB_DATA_4" localSheetId="0" hidden="1">'sfa budget'!$90:$90,'sfa budget'!$91:$91,'sfa budget'!$92:$92,'sfa budget'!$93:$93,'sfa budget'!$97:$97,'sfa budget'!$98:$98,'sfa budget'!$100:$100,'sfa budget'!$101:$101,'sfa budget'!$103:$103,'sfa budget'!$104:$104,'sfa budget'!$105:$105,'sfa budget'!$108:$108,'sfa budget'!$109:$109,'sfa budget'!$111:$111,'sfa budget'!$112:$112,'sfa budget'!$113:$113</definedName>
    <definedName name="QB_DATA_5" localSheetId="0" hidden="1">'sfa budget'!$114:$114,'sfa budget'!$120:$120,'sfa budget'!$125:$125</definedName>
    <definedName name="QB_FORMULA_0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0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1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2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3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4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5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6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7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8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19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0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1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2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3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4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5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6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27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3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4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5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6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7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8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FORMULA_9" localSheetId="0" hidden="1">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budget'!#REF!,'sfa budget'!#REF!</definedName>
    <definedName name="QB_ROW_132240" localSheetId="0" hidden="1">'sfa budget'!$E$4</definedName>
    <definedName name="QB_ROW_133240" localSheetId="0" hidden="1">'sfa budget'!$E$5</definedName>
    <definedName name="QB_ROW_134030" localSheetId="0" hidden="1">'sfa budget'!$D$120</definedName>
    <definedName name="QB_ROW_134330" localSheetId="0" hidden="1">'sfa budget'!$D$123</definedName>
    <definedName name="QB_ROW_135240" localSheetId="0" hidden="1">'sfa budget'!$E$6</definedName>
    <definedName name="QB_ROW_136050" localSheetId="0" hidden="1">'sfa budget'!$F$8</definedName>
    <definedName name="QB_ROW_136350" localSheetId="0" hidden="1">'sfa budget'!$F$13</definedName>
    <definedName name="QB_ROW_137050" localSheetId="0" hidden="1">'sfa budget'!$F$14</definedName>
    <definedName name="QB_ROW_137350" localSheetId="0" hidden="1">'sfa budget'!$F$19</definedName>
    <definedName name="QB_ROW_139250" localSheetId="0" hidden="1">'sfa budget'!$F$30</definedName>
    <definedName name="QB_ROW_140250" localSheetId="0" hidden="1">'sfa budget'!$F$32</definedName>
    <definedName name="QB_ROW_147250" localSheetId="0" hidden="1">'sfa budget'!$F$22</definedName>
    <definedName name="QB_ROW_149250" localSheetId="0" hidden="1">'sfa budget'!$F$24</definedName>
    <definedName name="QB_ROW_156250" localSheetId="0" hidden="1">'sfa budget'!#REF!</definedName>
    <definedName name="QB_ROW_157250" localSheetId="0" hidden="1">'sfa budget'!#REF!</definedName>
    <definedName name="QB_ROW_158250" localSheetId="0" hidden="1">'sfa budget'!#REF!</definedName>
    <definedName name="QB_ROW_159250" localSheetId="0" hidden="1">'sfa budget'!#REF!</definedName>
    <definedName name="QB_ROW_160250" localSheetId="0" hidden="1">'sfa budget'!#REF!</definedName>
    <definedName name="QB_ROW_161250" localSheetId="0" hidden="1">'sfa budget'!#REF!</definedName>
    <definedName name="QB_ROW_163250" localSheetId="0" hidden="1">'sfa budget'!#REF!</definedName>
    <definedName name="QB_ROW_164250" localSheetId="0" hidden="1">'sfa budget'!#REF!</definedName>
    <definedName name="QB_ROW_165250" localSheetId="0" hidden="1">'sfa budget'!#REF!</definedName>
    <definedName name="QB_ROW_166250" localSheetId="0" hidden="1">'sfa budget'!#REF!</definedName>
    <definedName name="QB_ROW_179250" localSheetId="0" hidden="1">'sfa budget'!$F$58</definedName>
    <definedName name="QB_ROW_181250" localSheetId="0" hidden="1">'sfa budget'!$F$46</definedName>
    <definedName name="QB_ROW_18301" localSheetId="0" hidden="1">'sfa budget'!$A$130</definedName>
    <definedName name="QB_ROW_183250" localSheetId="0" hidden="1">'sfa budget'!$F$48</definedName>
    <definedName name="QB_ROW_184250" localSheetId="0" hidden="1">'sfa budget'!$F$49</definedName>
    <definedName name="QB_ROW_188260" localSheetId="0" hidden="1">'sfa budget'!$G$79</definedName>
    <definedName name="QB_ROW_189040" localSheetId="0" hidden="1">'sfa budget'!$E$97</definedName>
    <definedName name="QB_ROW_189250" localSheetId="0" hidden="1">'sfa budget'!$F$99</definedName>
    <definedName name="QB_ROW_189340" localSheetId="0" hidden="1">'sfa budget'!$E$100</definedName>
    <definedName name="QB_ROW_19011" localSheetId="0" hidden="1">'sfa budget'!$B$2</definedName>
    <definedName name="QB_ROW_190240" localSheetId="0" hidden="1">'sfa budget'!$E$126</definedName>
    <definedName name="QB_ROW_19311" localSheetId="0" hidden="1">'sfa budget'!$B$117</definedName>
    <definedName name="QB_ROW_194240" localSheetId="0" hidden="1">'sfa budget'!$E$101</definedName>
    <definedName name="QB_ROW_195050" localSheetId="0" hidden="1">'sfa budget'!$F$75</definedName>
    <definedName name="QB_ROW_195350" localSheetId="0" hidden="1">'sfa budget'!$F$80</definedName>
    <definedName name="QB_ROW_196240" localSheetId="0" hidden="1">'sfa budget'!$E$102</definedName>
    <definedName name="QB_ROW_198250" localSheetId="0" hidden="1">'sfa budget'!$F$104</definedName>
    <definedName name="QB_ROW_199250" localSheetId="0" hidden="1">'sfa budget'!$F$105</definedName>
    <definedName name="QB_ROW_200250" localSheetId="0" hidden="1">'sfa budget'!$F$106</definedName>
    <definedName name="QB_ROW_20031" localSheetId="0" hidden="1">'sfa budget'!$D$3</definedName>
    <definedName name="QB_ROW_202250" localSheetId="0" hidden="1">'sfa budget'!$F$109</definedName>
    <definedName name="QB_ROW_203250" localSheetId="0" hidden="1">'sfa budget'!$F$110</definedName>
    <definedName name="QB_ROW_20331" localSheetId="0" hidden="1">'sfa budget'!$D$37</definedName>
    <definedName name="QB_ROW_207240" localSheetId="0" hidden="1">'sfa budget'!$E$112</definedName>
    <definedName name="QB_ROW_208240" localSheetId="0" hidden="1">'sfa budget'!$E$113</definedName>
    <definedName name="QB_ROW_209260" localSheetId="0" hidden="1">'sfa budget'!$G$63</definedName>
    <definedName name="QB_ROW_21031" localSheetId="0" hidden="1">'sfa budget'!$D$39</definedName>
    <definedName name="QB_ROW_211240" localSheetId="0" hidden="1">'sfa budget'!$E$114</definedName>
    <definedName name="QB_ROW_21331" localSheetId="0" hidden="1">'sfa budget'!$D$117</definedName>
    <definedName name="QB_ROW_219250" localSheetId="0" hidden="1">'sfa budget'!$F$95</definedName>
    <definedName name="QB_ROW_22011" localSheetId="0" hidden="1">'sfa budget'!$B$118</definedName>
    <definedName name="QB_ROW_221250" localSheetId="0" hidden="1">'sfa budget'!$F$54</definedName>
    <definedName name="QB_ROW_22311" localSheetId="0" hidden="1">'sfa budget'!$B$129</definedName>
    <definedName name="QB_ROW_223260" localSheetId="0" hidden="1">'sfa budget'!$G$85</definedName>
    <definedName name="QB_ROW_229250" localSheetId="0" hidden="1">'sfa budget'!$F$23</definedName>
    <definedName name="QB_ROW_23021" localSheetId="0" hidden="1">'sfa budget'!$C$119</definedName>
    <definedName name="QB_ROW_231250" localSheetId="0" hidden="1">'sfa budget'!#REF!</definedName>
    <definedName name="QB_ROW_232250" localSheetId="0" hidden="1">'sfa budget'!#REF!</definedName>
    <definedName name="QB_ROW_23321" localSheetId="0" hidden="1">'sfa budget'!$C$123</definedName>
    <definedName name="QB_ROW_233250" localSheetId="0" hidden="1">'sfa budget'!#REF!</definedName>
    <definedName name="QB_ROW_234250" localSheetId="0" hidden="1">'sfa budget'!#REF!</definedName>
    <definedName name="QB_ROW_236250" localSheetId="0" hidden="1">'sfa budget'!#REF!</definedName>
    <definedName name="QB_ROW_24021" localSheetId="0" hidden="1">'sfa budget'!$C$124</definedName>
    <definedName name="QB_ROW_24321" localSheetId="0" hidden="1">'sfa budget'!$C$128</definedName>
    <definedName name="QB_ROW_294040" localSheetId="0" hidden="1">'sfa budget'!$E$29</definedName>
    <definedName name="QB_ROW_294340" localSheetId="0" hidden="1">'sfa budget'!$E$33</definedName>
    <definedName name="QB_ROW_328350" localSheetId="0" hidden="1">'sfa budget'!$F$26</definedName>
    <definedName name="QB_ROW_343260" localSheetId="0" hidden="1">'sfa budget'!$G$76</definedName>
    <definedName name="QB_ROW_347250" localSheetId="0" hidden="1">'sfa budget'!$F$59</definedName>
    <definedName name="QB_ROW_35260" localSheetId="0" hidden="1">'sfa budget'!$G$82</definedName>
    <definedName name="QB_ROW_359040" localSheetId="0" hidden="1">'sfa budget'!$E$67</definedName>
    <definedName name="QB_ROW_359340" localSheetId="0" hidden="1">'sfa budget'!$E$72</definedName>
    <definedName name="QB_ROW_361250" localSheetId="0" hidden="1">'sfa budget'!$F$69</definedName>
    <definedName name="QB_ROW_362250" localSheetId="0" hidden="1">'sfa budget'!$F$98</definedName>
    <definedName name="QB_ROW_363250" localSheetId="0" hidden="1">'sfa budget'!$F$70</definedName>
    <definedName name="QB_ROW_364250" localSheetId="0" hidden="1">'sfa budget'!$F$71</definedName>
    <definedName name="QB_ROW_365030" localSheetId="0" hidden="1">'sfa budget'!$D$125</definedName>
    <definedName name="QB_ROW_365330" localSheetId="0" hidden="1">'sfa budget'!$D$128</definedName>
    <definedName name="QB_ROW_373040" localSheetId="0" hidden="1">'sfa budget'!$E$88</definedName>
    <definedName name="QB_ROW_373340" localSheetId="0" hidden="1">'sfa budget'!$E$96</definedName>
    <definedName name="QB_ROW_375250" localSheetId="0" hidden="1">'sfa budget'!$F$90</definedName>
    <definedName name="QB_ROW_390040" localSheetId="0" hidden="1">'sfa budget'!$E$34</definedName>
    <definedName name="QB_ROW_390340" localSheetId="0" hidden="1">'sfa budget'!$E$36</definedName>
    <definedName name="QB_ROW_396040" localSheetId="0" hidden="1">'sfa budget'!$E$7</definedName>
    <definedName name="QB_ROW_396340" localSheetId="0" hidden="1">'sfa budget'!$E$20</definedName>
    <definedName name="QB_ROW_397250" localSheetId="0" hidden="1">'sfa budget'!$F$47</definedName>
    <definedName name="QB_ROW_398250" localSheetId="0" hidden="1">'sfa budget'!$F$51</definedName>
    <definedName name="QB_ROW_405250" localSheetId="0" hidden="1">'sfa budget'!$F$35</definedName>
    <definedName name="QB_ROW_406050" localSheetId="0" hidden="1">'sfa budget'!$F$81</definedName>
    <definedName name="QB_ROW_406350" localSheetId="0" hidden="1">'sfa budget'!$F$86</definedName>
    <definedName name="QB_ROW_407250" localSheetId="0" hidden="1">'sfa budget'!$F$65</definedName>
    <definedName name="QB_ROW_408250" localSheetId="0" hidden="1">'sfa budget'!#REF!</definedName>
    <definedName name="QB_ROW_410250" localSheetId="0" hidden="1">'sfa budget'!#REF!</definedName>
    <definedName name="QB_ROW_413250" localSheetId="0" hidden="1">'sfa budget'!#REF!</definedName>
    <definedName name="QB_ROW_414250" localSheetId="0" hidden="1">'sfa budget'!#REF!</definedName>
    <definedName name="QB_ROW_415250" localSheetId="0" hidden="1">'sfa budget'!#REF!</definedName>
    <definedName name="QB_ROW_416250" localSheetId="0" hidden="1">'sfa budget'!#REF!</definedName>
    <definedName name="QB_ROW_418250" localSheetId="0" hidden="1">'sfa budget'!#REF!</definedName>
    <definedName name="QB_ROW_420250" localSheetId="0" hidden="1">'sfa budget'!#REF!</definedName>
    <definedName name="QB_ROW_422250" localSheetId="0" hidden="1">'sfa budget'!#REF!</definedName>
    <definedName name="QB_ROW_430260" localSheetId="0" hidden="1">'sfa budget'!$G$10</definedName>
    <definedName name="QB_ROW_431260" localSheetId="0" hidden="1">'sfa budget'!$G$12</definedName>
    <definedName name="QB_ROW_434260" localSheetId="0" hidden="1">'sfa budget'!$G$17</definedName>
    <definedName name="QB_ROW_435260" localSheetId="0" hidden="1">'sfa budget'!$G$9</definedName>
    <definedName name="QB_ROW_442260" localSheetId="0" hidden="1">'sfa budget'!$G$15</definedName>
    <definedName name="QB_ROW_443360" localSheetId="0" hidden="1">'sfa budget'!$G$16</definedName>
    <definedName name="QB_ROW_444260" localSheetId="0" hidden="1">'sfa budget'!$G$18</definedName>
    <definedName name="QB_ROW_445240" localSheetId="0" hidden="1">'sfa budget'!$E$122</definedName>
    <definedName name="QB_ROW_446050" localSheetId="0" hidden="1">'sfa budget'!$F$60</definedName>
    <definedName name="QB_ROW_446350" localSheetId="0" hidden="1">'sfa budget'!$F$64</definedName>
    <definedName name="QB_ROW_447260" localSheetId="0" hidden="1">'sfa budget'!$G$61</definedName>
    <definedName name="QB_ROW_449250" localSheetId="0" hidden="1">'sfa budget'!$F$91</definedName>
    <definedName name="QB_ROW_453260" localSheetId="0" hidden="1">'sfa budget'!$G$11</definedName>
    <definedName name="QB_ROW_455250" localSheetId="0" hidden="1">'sfa budget'!$F$92</definedName>
    <definedName name="QB_ROW_456250" localSheetId="0" hidden="1">'sfa budget'!$F$93</definedName>
    <definedName name="QB_ROW_458250" localSheetId="0" hidden="1">'sfa budget'!$F$41</definedName>
    <definedName name="QB_ROW_462250" localSheetId="0" hidden="1">'sfa budget'!$F$50</definedName>
    <definedName name="QB_ROW_465240" localSheetId="0" hidden="1">'sfa budget'!$E$115</definedName>
    <definedName name="QB_ROW_468250" localSheetId="0" hidden="1">'sfa budget'!$F$83</definedName>
    <definedName name="QB_ROW_478040" localSheetId="0" hidden="1">'sfa budget'!$E$21</definedName>
    <definedName name="QB_ROW_478340" localSheetId="0" hidden="1">'sfa budget'!$E$27</definedName>
    <definedName name="QB_ROW_479040" localSheetId="0" hidden="1">'sfa budget'!$E$45</definedName>
    <definedName name="QB_ROW_479340" localSheetId="0" hidden="1">'sfa budget'!$E$55</definedName>
    <definedName name="QB_ROW_480040" localSheetId="0" hidden="1">'sfa budget'!$E$74</definedName>
    <definedName name="QB_ROW_480340" localSheetId="0" hidden="1">'sfa budget'!$E$87</definedName>
    <definedName name="QB_ROW_481040" localSheetId="0" hidden="1">'sfa budget'!$E$57</definedName>
    <definedName name="QB_ROW_481340" localSheetId="0" hidden="1">'sfa budget'!$E$66</definedName>
    <definedName name="QB_ROW_482040" localSheetId="0" hidden="1">'sfa budget'!$E$103</definedName>
    <definedName name="QB_ROW_482340" localSheetId="0" hidden="1">'sfa budget'!$E$107</definedName>
    <definedName name="QB_ROW_483040" localSheetId="0" hidden="1">'sfa budget'!$E$108</definedName>
    <definedName name="QB_ROW_483340" localSheetId="0" hidden="1">'sfa budget'!$E$111</definedName>
    <definedName name="QB_ROW_484040" localSheetId="0" hidden="1">'sfa budget'!$E$40</definedName>
    <definedName name="QB_ROW_484340" localSheetId="0" hidden="1">'sfa budget'!$E$44</definedName>
    <definedName name="QB_ROW_86321" localSheetId="0" hidden="1">'sfa budget'!$C$38</definedName>
    <definedName name="QBCANSUPPORTUPDATE" localSheetId="0">TRUE</definedName>
    <definedName name="QBCOMPANYFILENAME" localSheetId="0">"C:\Quickbooks Data\New Level CDC1.QBW"</definedName>
    <definedName name="QBENDDATE" localSheetId="0">20181231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"792af6e8b7c24eb0ac81a2fa38806e15"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7</definedName>
    <definedName name="QBSTARTDATE" localSheetId="0">20180101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6" i="1" l="1"/>
  <c r="N49" i="1"/>
  <c r="J56" i="1"/>
  <c r="S56" i="1" s="1"/>
  <c r="N53" i="1"/>
  <c r="R53" i="1"/>
  <c r="R116" i="1"/>
  <c r="L116" i="1"/>
  <c r="S116" i="1" s="1"/>
  <c r="S77" i="1"/>
  <c r="N77" i="1"/>
  <c r="P43" i="1" l="1"/>
  <c r="S43" i="1" s="1"/>
  <c r="P42" i="1"/>
  <c r="N35" i="1"/>
  <c r="S35" i="1" s="1"/>
  <c r="H53" i="1"/>
  <c r="J53" i="1"/>
  <c r="L53" i="1"/>
  <c r="P53" i="1"/>
  <c r="T37" i="1"/>
  <c r="T117" i="1"/>
  <c r="T128" i="1"/>
  <c r="R94" i="1"/>
  <c r="P94" i="1"/>
  <c r="N94" i="1"/>
  <c r="L94" i="1"/>
  <c r="J94" i="1"/>
  <c r="H94" i="1"/>
  <c r="H123" i="1"/>
  <c r="U27" i="1"/>
  <c r="T118" i="1" l="1"/>
  <c r="T131" i="1" s="1"/>
  <c r="S53" i="1"/>
  <c r="S94" i="1"/>
  <c r="U96" i="1"/>
  <c r="U80" i="1"/>
  <c r="U87" i="1"/>
  <c r="U72" i="1"/>
  <c r="P89" i="1"/>
  <c r="N89" i="1"/>
  <c r="L89" i="1"/>
  <c r="J89" i="1"/>
  <c r="H89" i="1"/>
  <c r="R89" i="1"/>
  <c r="S89" i="1" l="1"/>
  <c r="U111" i="1"/>
  <c r="U107" i="1"/>
  <c r="U100" i="1"/>
  <c r="U44" i="1"/>
  <c r="U33" i="1"/>
  <c r="U20" i="1" l="1"/>
  <c r="H124" i="1"/>
  <c r="R73" i="1" l="1"/>
  <c r="R68" i="1"/>
  <c r="R42" i="1"/>
  <c r="R31" i="1"/>
  <c r="P126" i="1"/>
  <c r="P125" i="1"/>
  <c r="P122" i="1"/>
  <c r="P120" i="1"/>
  <c r="P119" i="1"/>
  <c r="P115" i="1"/>
  <c r="P114" i="1"/>
  <c r="P113" i="1"/>
  <c r="P112" i="1"/>
  <c r="P110" i="1"/>
  <c r="P109" i="1"/>
  <c r="P106" i="1"/>
  <c r="P105" i="1"/>
  <c r="P104" i="1"/>
  <c r="P103" i="1"/>
  <c r="P102" i="1"/>
  <c r="P101" i="1"/>
  <c r="P99" i="1"/>
  <c r="P98" i="1"/>
  <c r="P95" i="1"/>
  <c r="P93" i="1"/>
  <c r="P92" i="1"/>
  <c r="P91" i="1"/>
  <c r="P90" i="1"/>
  <c r="P85" i="1"/>
  <c r="P84" i="1"/>
  <c r="P83" i="1"/>
  <c r="P82" i="1"/>
  <c r="P79" i="1"/>
  <c r="P78" i="1"/>
  <c r="P76" i="1"/>
  <c r="P73" i="1"/>
  <c r="P71" i="1"/>
  <c r="P70" i="1"/>
  <c r="P69" i="1"/>
  <c r="P68" i="1"/>
  <c r="P67" i="1"/>
  <c r="P65" i="1"/>
  <c r="P63" i="1"/>
  <c r="P62" i="1"/>
  <c r="P61" i="1"/>
  <c r="P59" i="1"/>
  <c r="P58" i="1"/>
  <c r="P54" i="1"/>
  <c r="P52" i="1"/>
  <c r="P51" i="1"/>
  <c r="P50" i="1"/>
  <c r="P48" i="1"/>
  <c r="P47" i="1"/>
  <c r="P46" i="1"/>
  <c r="P41" i="1"/>
  <c r="P32" i="1"/>
  <c r="P31" i="1"/>
  <c r="P30" i="1"/>
  <c r="P26" i="1"/>
  <c r="P24" i="1"/>
  <c r="P23" i="1"/>
  <c r="P22" i="1"/>
  <c r="P18" i="1"/>
  <c r="P17" i="1"/>
  <c r="P16" i="1"/>
  <c r="P15" i="1"/>
  <c r="P12" i="1"/>
  <c r="P11" i="1"/>
  <c r="P9" i="1"/>
  <c r="P6" i="1"/>
  <c r="P5" i="1"/>
  <c r="N126" i="1"/>
  <c r="N125" i="1"/>
  <c r="N122" i="1"/>
  <c r="N120" i="1"/>
  <c r="N119" i="1"/>
  <c r="N115" i="1"/>
  <c r="N114" i="1"/>
  <c r="N113" i="1"/>
  <c r="N112" i="1"/>
  <c r="N110" i="1"/>
  <c r="N109" i="1"/>
  <c r="N106" i="1"/>
  <c r="N105" i="1"/>
  <c r="N104" i="1"/>
  <c r="N103" i="1"/>
  <c r="N102" i="1"/>
  <c r="N101" i="1"/>
  <c r="N99" i="1"/>
  <c r="N98" i="1"/>
  <c r="N95" i="1"/>
  <c r="N93" i="1"/>
  <c r="N92" i="1"/>
  <c r="N91" i="1"/>
  <c r="N90" i="1"/>
  <c r="N85" i="1"/>
  <c r="N84" i="1"/>
  <c r="N83" i="1"/>
  <c r="N82" i="1"/>
  <c r="N79" i="1"/>
  <c r="N78" i="1"/>
  <c r="N76" i="1"/>
  <c r="N73" i="1"/>
  <c r="N71" i="1"/>
  <c r="N70" i="1"/>
  <c r="N69" i="1"/>
  <c r="N68" i="1"/>
  <c r="N67" i="1"/>
  <c r="N65" i="1"/>
  <c r="N63" i="1"/>
  <c r="N62" i="1"/>
  <c r="N61" i="1"/>
  <c r="N59" i="1"/>
  <c r="N58" i="1"/>
  <c r="N54" i="1"/>
  <c r="N52" i="1"/>
  <c r="N51" i="1"/>
  <c r="N50" i="1"/>
  <c r="N48" i="1"/>
  <c r="N47" i="1"/>
  <c r="N46" i="1"/>
  <c r="N42" i="1"/>
  <c r="N41" i="1"/>
  <c r="N32" i="1"/>
  <c r="N31" i="1"/>
  <c r="N30" i="1"/>
  <c r="N26" i="1"/>
  <c r="N24" i="1"/>
  <c r="N23" i="1"/>
  <c r="N22" i="1"/>
  <c r="N18" i="1"/>
  <c r="N17" i="1"/>
  <c r="N16" i="1"/>
  <c r="N15" i="1"/>
  <c r="N12" i="1"/>
  <c r="N11" i="1"/>
  <c r="N9" i="1"/>
  <c r="N6" i="1"/>
  <c r="N5" i="1"/>
  <c r="L126" i="1"/>
  <c r="L125" i="1"/>
  <c r="L122" i="1"/>
  <c r="L120" i="1"/>
  <c r="L119" i="1"/>
  <c r="L115" i="1"/>
  <c r="L114" i="1"/>
  <c r="L113" i="1"/>
  <c r="L112" i="1"/>
  <c r="L110" i="1"/>
  <c r="L109" i="1"/>
  <c r="L106" i="1"/>
  <c r="L105" i="1"/>
  <c r="L104" i="1"/>
  <c r="L103" i="1"/>
  <c r="L102" i="1"/>
  <c r="L101" i="1"/>
  <c r="L99" i="1"/>
  <c r="L98" i="1"/>
  <c r="L95" i="1"/>
  <c r="L93" i="1"/>
  <c r="L92" i="1"/>
  <c r="L91" i="1"/>
  <c r="L90" i="1"/>
  <c r="L85" i="1"/>
  <c r="L84" i="1"/>
  <c r="L83" i="1"/>
  <c r="L82" i="1"/>
  <c r="L79" i="1"/>
  <c r="L78" i="1"/>
  <c r="L76" i="1"/>
  <c r="L73" i="1"/>
  <c r="L71" i="1"/>
  <c r="L70" i="1"/>
  <c r="L69" i="1"/>
  <c r="L68" i="1"/>
  <c r="L67" i="1"/>
  <c r="L65" i="1"/>
  <c r="L63" i="1"/>
  <c r="L62" i="1"/>
  <c r="L61" i="1"/>
  <c r="L59" i="1"/>
  <c r="L58" i="1"/>
  <c r="L54" i="1"/>
  <c r="L52" i="1"/>
  <c r="L51" i="1"/>
  <c r="L50" i="1"/>
  <c r="L48" i="1"/>
  <c r="L47" i="1"/>
  <c r="L46" i="1"/>
  <c r="L42" i="1"/>
  <c r="L41" i="1"/>
  <c r="L32" i="1"/>
  <c r="L31" i="1"/>
  <c r="L30" i="1"/>
  <c r="L26" i="1"/>
  <c r="L24" i="1"/>
  <c r="L23" i="1"/>
  <c r="L22" i="1"/>
  <c r="L18" i="1"/>
  <c r="L17" i="1"/>
  <c r="L16" i="1"/>
  <c r="L15" i="1"/>
  <c r="L12" i="1"/>
  <c r="L11" i="1"/>
  <c r="L9" i="1"/>
  <c r="L6" i="1"/>
  <c r="L5" i="1"/>
  <c r="J126" i="1"/>
  <c r="J125" i="1"/>
  <c r="J120" i="1"/>
  <c r="J123" i="1" s="1"/>
  <c r="J119" i="1"/>
  <c r="J115" i="1"/>
  <c r="J114" i="1"/>
  <c r="J113" i="1"/>
  <c r="J112" i="1"/>
  <c r="J110" i="1"/>
  <c r="J109" i="1"/>
  <c r="J106" i="1"/>
  <c r="J105" i="1"/>
  <c r="J104" i="1"/>
  <c r="J103" i="1"/>
  <c r="J102" i="1"/>
  <c r="J101" i="1"/>
  <c r="J99" i="1"/>
  <c r="J98" i="1"/>
  <c r="J95" i="1"/>
  <c r="J93" i="1"/>
  <c r="J92" i="1"/>
  <c r="J91" i="1"/>
  <c r="J90" i="1"/>
  <c r="J85" i="1"/>
  <c r="J84" i="1"/>
  <c r="J83" i="1"/>
  <c r="J82" i="1"/>
  <c r="J79" i="1"/>
  <c r="J78" i="1"/>
  <c r="J76" i="1"/>
  <c r="J73" i="1"/>
  <c r="J71" i="1"/>
  <c r="J70" i="1"/>
  <c r="J69" i="1"/>
  <c r="J68" i="1"/>
  <c r="J67" i="1"/>
  <c r="J65" i="1"/>
  <c r="J63" i="1"/>
  <c r="J62" i="1"/>
  <c r="J61" i="1"/>
  <c r="J59" i="1"/>
  <c r="J58" i="1"/>
  <c r="J54" i="1"/>
  <c r="J52" i="1"/>
  <c r="J51" i="1"/>
  <c r="J50" i="1"/>
  <c r="J48" i="1"/>
  <c r="J47" i="1"/>
  <c r="J46" i="1"/>
  <c r="J42" i="1"/>
  <c r="J41" i="1"/>
  <c r="J32" i="1"/>
  <c r="J31" i="1"/>
  <c r="J30" i="1"/>
  <c r="J26" i="1"/>
  <c r="J24" i="1"/>
  <c r="J23" i="1"/>
  <c r="J22" i="1"/>
  <c r="J18" i="1"/>
  <c r="J17" i="1"/>
  <c r="J16" i="1"/>
  <c r="J15" i="1"/>
  <c r="J12" i="1"/>
  <c r="J11" i="1"/>
  <c r="J9" i="1"/>
  <c r="J6" i="1"/>
  <c r="J5" i="1"/>
  <c r="H126" i="1"/>
  <c r="H125" i="1"/>
  <c r="H115" i="1"/>
  <c r="H114" i="1"/>
  <c r="H113" i="1"/>
  <c r="H112" i="1"/>
  <c r="H110" i="1"/>
  <c r="H109" i="1"/>
  <c r="H106" i="1"/>
  <c r="H105" i="1"/>
  <c r="H104" i="1"/>
  <c r="H103" i="1"/>
  <c r="H102" i="1"/>
  <c r="H101" i="1"/>
  <c r="H99" i="1"/>
  <c r="H98" i="1"/>
  <c r="H95" i="1"/>
  <c r="H93" i="1"/>
  <c r="H92" i="1"/>
  <c r="H91" i="1"/>
  <c r="H90" i="1"/>
  <c r="H85" i="1"/>
  <c r="H84" i="1"/>
  <c r="H83" i="1"/>
  <c r="H82" i="1"/>
  <c r="H79" i="1"/>
  <c r="H78" i="1"/>
  <c r="H76" i="1"/>
  <c r="H73" i="1"/>
  <c r="H71" i="1"/>
  <c r="H70" i="1"/>
  <c r="H69" i="1"/>
  <c r="H68" i="1"/>
  <c r="H67" i="1"/>
  <c r="H65" i="1"/>
  <c r="H63" i="1"/>
  <c r="H62" i="1"/>
  <c r="H61" i="1"/>
  <c r="H59" i="1"/>
  <c r="H58" i="1"/>
  <c r="H54" i="1"/>
  <c r="H52" i="1"/>
  <c r="H51" i="1"/>
  <c r="H50" i="1"/>
  <c r="H48" i="1"/>
  <c r="H47" i="1"/>
  <c r="H46" i="1"/>
  <c r="H42" i="1"/>
  <c r="H41" i="1"/>
  <c r="H32" i="1"/>
  <c r="H31" i="1"/>
  <c r="H30" i="1"/>
  <c r="H26" i="1"/>
  <c r="H24" i="1"/>
  <c r="H23" i="1"/>
  <c r="H22" i="1"/>
  <c r="H18" i="1"/>
  <c r="H17" i="1"/>
  <c r="H16" i="1"/>
  <c r="H15" i="1"/>
  <c r="H12" i="1"/>
  <c r="H11" i="1"/>
  <c r="H9" i="1"/>
  <c r="H6" i="1"/>
  <c r="H5" i="1"/>
  <c r="P123" i="1" l="1"/>
  <c r="P124" i="1" s="1"/>
  <c r="N128" i="1"/>
  <c r="N123" i="1"/>
  <c r="N124" i="1" s="1"/>
  <c r="P128" i="1"/>
  <c r="L128" i="1"/>
  <c r="J128" i="1"/>
  <c r="J129" i="1" s="1"/>
  <c r="L123" i="1"/>
  <c r="L124" i="1" s="1"/>
  <c r="H128" i="1"/>
  <c r="H129" i="1" s="1"/>
  <c r="S42" i="1"/>
  <c r="S68" i="1"/>
  <c r="S73" i="1"/>
  <c r="N129" i="1" l="1"/>
  <c r="N130" i="1" s="1"/>
  <c r="P129" i="1"/>
  <c r="P130" i="1" s="1"/>
  <c r="L129" i="1"/>
  <c r="L130" i="1" s="1"/>
  <c r="R62" i="1"/>
  <c r="U55" i="1"/>
  <c r="C9" i="4"/>
  <c r="B9" i="4"/>
  <c r="B8" i="4"/>
  <c r="C7" i="4"/>
  <c r="B7" i="4"/>
  <c r="E6" i="4"/>
  <c r="D6" i="4"/>
  <c r="C6" i="4"/>
  <c r="B6" i="4"/>
  <c r="C5" i="4"/>
  <c r="C11" i="4" s="1"/>
  <c r="B5" i="4"/>
  <c r="B11" i="4" l="1"/>
  <c r="P49" i="1"/>
  <c r="P117" i="1" s="1"/>
  <c r="N117" i="1"/>
  <c r="J49" i="1"/>
  <c r="J117" i="1" s="1"/>
  <c r="L49" i="1"/>
  <c r="L117" i="1" s="1"/>
  <c r="H49" i="1"/>
  <c r="S62" i="1"/>
  <c r="T33" i="3"/>
  <c r="T32" i="3"/>
  <c r="T31" i="3"/>
  <c r="T29" i="3"/>
  <c r="T34" i="3" s="1"/>
  <c r="U24" i="3"/>
  <c r="T27" i="3" s="1"/>
  <c r="R24" i="3"/>
  <c r="P24" i="3"/>
  <c r="N24" i="3"/>
  <c r="L24" i="3"/>
  <c r="J24" i="3"/>
  <c r="H24" i="3"/>
  <c r="R23" i="3"/>
  <c r="P23" i="3"/>
  <c r="N23" i="3"/>
  <c r="L23" i="3"/>
  <c r="J23" i="3"/>
  <c r="H23" i="3"/>
  <c r="R22" i="3"/>
  <c r="P22" i="3"/>
  <c r="N22" i="3"/>
  <c r="L22" i="3"/>
  <c r="J22" i="3"/>
  <c r="H22" i="3"/>
  <c r="R21" i="3"/>
  <c r="P21" i="3"/>
  <c r="N21" i="3"/>
  <c r="L21" i="3"/>
  <c r="J21" i="3"/>
  <c r="H21" i="3"/>
  <c r="R20" i="3"/>
  <c r="P20" i="3"/>
  <c r="N20" i="3"/>
  <c r="L20" i="3"/>
  <c r="J20" i="3"/>
  <c r="H20" i="3"/>
  <c r="R19" i="3"/>
  <c r="P19" i="3"/>
  <c r="N19" i="3"/>
  <c r="L19" i="3"/>
  <c r="J19" i="3"/>
  <c r="H19" i="3"/>
  <c r="P18" i="3"/>
  <c r="N18" i="3"/>
  <c r="L18" i="3"/>
  <c r="J18" i="3"/>
  <c r="H18" i="3"/>
  <c r="H117" i="1" l="1"/>
  <c r="S117" i="1" s="1"/>
  <c r="S49" i="1"/>
  <c r="S18" i="3"/>
  <c r="S24" i="3"/>
  <c r="S23" i="3"/>
  <c r="S19" i="3"/>
  <c r="S22" i="3"/>
  <c r="L25" i="3"/>
  <c r="L26" i="3" s="1"/>
  <c r="J25" i="3"/>
  <c r="J26" i="3" s="1"/>
  <c r="N25" i="3"/>
  <c r="N26" i="3" s="1"/>
  <c r="P25" i="3"/>
  <c r="P26" i="3" s="1"/>
  <c r="S21" i="3"/>
  <c r="S20" i="3"/>
  <c r="H25" i="3"/>
  <c r="H26" i="3" s="1"/>
  <c r="R26" i="3" l="1"/>
  <c r="U36" i="1" l="1"/>
  <c r="R78" i="1"/>
  <c r="S78" i="1"/>
  <c r="R52" i="1"/>
  <c r="J37" i="1" l="1"/>
  <c r="N37" i="1"/>
  <c r="N118" i="1" s="1"/>
  <c r="N131" i="1" s="1"/>
  <c r="H37" i="1"/>
  <c r="H118" i="1" s="1"/>
  <c r="H131" i="1" s="1"/>
  <c r="L37" i="1"/>
  <c r="P37" i="1"/>
  <c r="P118" i="1" s="1"/>
  <c r="P131" i="1" s="1"/>
  <c r="S52" i="1"/>
  <c r="J118" i="1" l="1"/>
  <c r="J131" i="1" s="1"/>
  <c r="L118" i="1"/>
  <c r="L131" i="1" s="1"/>
  <c r="S37" i="1"/>
  <c r="S118" i="1" l="1"/>
  <c r="U9" i="3"/>
  <c r="P9" i="3"/>
  <c r="N9" i="3"/>
  <c r="L9" i="3"/>
  <c r="P8" i="3"/>
  <c r="N8" i="3"/>
  <c r="L8" i="3"/>
  <c r="J9" i="3"/>
  <c r="J8" i="3"/>
  <c r="H9" i="3"/>
  <c r="H8" i="3"/>
  <c r="P7" i="3"/>
  <c r="N7" i="3"/>
  <c r="L7" i="3"/>
  <c r="J7" i="3"/>
  <c r="H7" i="3"/>
  <c r="P6" i="3"/>
  <c r="N6" i="3"/>
  <c r="L6" i="3"/>
  <c r="J6" i="3"/>
  <c r="H6" i="3"/>
  <c r="P5" i="3"/>
  <c r="N5" i="3"/>
  <c r="L5" i="3"/>
  <c r="J5" i="3"/>
  <c r="H5" i="3"/>
  <c r="T15" i="3"/>
  <c r="N16" i="3" s="1"/>
  <c r="R9" i="3"/>
  <c r="R8" i="3"/>
  <c r="R7" i="3"/>
  <c r="R6" i="3"/>
  <c r="R5" i="3"/>
  <c r="J10" i="3" l="1"/>
  <c r="J11" i="3" s="1"/>
  <c r="L10" i="3"/>
  <c r="L11" i="3" s="1"/>
  <c r="H10" i="3"/>
  <c r="H11" i="3" s="1"/>
  <c r="N10" i="3"/>
  <c r="N11" i="3" s="1"/>
  <c r="H16" i="3"/>
  <c r="J16" i="3"/>
  <c r="S6" i="3"/>
  <c r="P10" i="3"/>
  <c r="P11" i="3" s="1"/>
  <c r="P16" i="3"/>
  <c r="S8" i="3"/>
  <c r="L16" i="3"/>
  <c r="S5" i="3"/>
  <c r="S7" i="3"/>
  <c r="S9" i="3"/>
  <c r="R13" i="3"/>
  <c r="P13" i="3"/>
  <c r="N13" i="3"/>
  <c r="L13" i="3"/>
  <c r="J13" i="3"/>
  <c r="H13" i="3"/>
  <c r="R12" i="3"/>
  <c r="P12" i="3"/>
  <c r="L12" i="3"/>
  <c r="R4" i="3"/>
  <c r="P4" i="3"/>
  <c r="N4" i="3"/>
  <c r="L4" i="3"/>
  <c r="J4" i="3"/>
  <c r="H4" i="3"/>
  <c r="P3" i="3"/>
  <c r="N3" i="3"/>
  <c r="L3" i="3"/>
  <c r="J3" i="3"/>
  <c r="H3" i="3"/>
  <c r="R11" i="3" l="1"/>
  <c r="S4" i="3"/>
  <c r="R16" i="3"/>
  <c r="S3" i="3"/>
  <c r="S12" i="3"/>
  <c r="S13" i="3"/>
  <c r="S31" i="1" l="1"/>
  <c r="R84" i="1" l="1"/>
  <c r="S84" i="1" l="1"/>
  <c r="S119" i="1" l="1"/>
  <c r="R126" i="1"/>
  <c r="R122" i="1"/>
  <c r="R115" i="1"/>
  <c r="R114" i="1"/>
  <c r="R113" i="1"/>
  <c r="R112" i="1"/>
  <c r="R110" i="1"/>
  <c r="R109" i="1"/>
  <c r="R106" i="1"/>
  <c r="R105" i="1"/>
  <c r="R104" i="1"/>
  <c r="R102" i="1"/>
  <c r="R101" i="1"/>
  <c r="R99" i="1"/>
  <c r="R98" i="1"/>
  <c r="R95" i="1"/>
  <c r="R93" i="1"/>
  <c r="R92" i="1"/>
  <c r="R91" i="1"/>
  <c r="R90" i="1"/>
  <c r="R85" i="1"/>
  <c r="R82" i="1"/>
  <c r="R79" i="1"/>
  <c r="R76" i="1"/>
  <c r="R83" i="1"/>
  <c r="R71" i="1"/>
  <c r="R70" i="1"/>
  <c r="R69" i="1"/>
  <c r="R65" i="1"/>
  <c r="R63" i="1"/>
  <c r="R61" i="1"/>
  <c r="R59" i="1"/>
  <c r="R58" i="1"/>
  <c r="R54" i="1"/>
  <c r="R51" i="1"/>
  <c r="R50" i="1"/>
  <c r="R49" i="1"/>
  <c r="R48" i="1"/>
  <c r="R47" i="1"/>
  <c r="R46" i="1"/>
  <c r="R41" i="1"/>
  <c r="R32" i="1"/>
  <c r="R30" i="1"/>
  <c r="R26" i="1"/>
  <c r="R24" i="1"/>
  <c r="R23" i="1"/>
  <c r="R22" i="1"/>
  <c r="R18" i="1"/>
  <c r="R17" i="1"/>
  <c r="R16" i="1"/>
  <c r="R15" i="1"/>
  <c r="R12" i="1"/>
  <c r="R11" i="1"/>
  <c r="R9" i="1"/>
  <c r="R6" i="1"/>
  <c r="R5" i="1"/>
  <c r="S32" i="1" l="1"/>
  <c r="S58" i="1"/>
  <c r="S82" i="1"/>
  <c r="S15" i="1"/>
  <c r="S54" i="1"/>
  <c r="S24" i="1"/>
  <c r="S125" i="1"/>
  <c r="S48" i="1"/>
  <c r="S47" i="1"/>
  <c r="S51" i="1"/>
  <c r="S59" i="1"/>
  <c r="S76" i="1"/>
  <c r="S92" i="1"/>
  <c r="S103" i="1"/>
  <c r="S113" i="1"/>
  <c r="S11" i="1"/>
  <c r="S16" i="1"/>
  <c r="S46" i="1"/>
  <c r="S50" i="1"/>
  <c r="S102" i="1"/>
  <c r="S5" i="1"/>
  <c r="S67" i="1"/>
  <c r="S83" i="1"/>
  <c r="S93" i="1"/>
  <c r="S109" i="1"/>
  <c r="S61" i="1"/>
  <c r="S69" i="1"/>
  <c r="S90" i="1"/>
  <c r="S95" i="1"/>
  <c r="S9" i="1"/>
  <c r="S63" i="1"/>
  <c r="S112" i="1"/>
  <c r="S105" i="1"/>
  <c r="S41" i="1"/>
  <c r="S17" i="1"/>
  <c r="S65" i="1"/>
  <c r="S110" i="1"/>
  <c r="S126" i="1"/>
  <c r="S115" i="1"/>
  <c r="S114" i="1"/>
  <c r="S106" i="1"/>
  <c r="S104" i="1"/>
  <c r="S101" i="1"/>
  <c r="S98" i="1"/>
  <c r="S99" i="1"/>
  <c r="S91" i="1"/>
  <c r="S85" i="1"/>
  <c r="S71" i="1"/>
  <c r="S70" i="1"/>
  <c r="S79" i="1"/>
  <c r="S120" i="1"/>
  <c r="T123" i="1" s="1"/>
  <c r="T129" i="1" s="1"/>
  <c r="S18" i="1"/>
  <c r="S22" i="1"/>
  <c r="S12" i="1"/>
  <c r="S30" i="1"/>
  <c r="S6" i="1"/>
  <c r="S23" i="1"/>
  <c r="S26" i="1"/>
  <c r="S123" i="1" l="1"/>
  <c r="S128" i="1"/>
  <c r="J130" i="1"/>
  <c r="S131" i="1" s="1"/>
  <c r="S129" i="1" l="1"/>
</calcChain>
</file>

<file path=xl/sharedStrings.xml><?xml version="1.0" encoding="utf-8"?>
<sst xmlns="http://schemas.openxmlformats.org/spreadsheetml/2006/main" count="207" uniqueCount="172">
  <si>
    <t>Ordinary Income/Expense</t>
  </si>
  <si>
    <t>Income</t>
  </si>
  <si>
    <t>40000 · Consulting Income</t>
  </si>
  <si>
    <t>40100 · Bank  Interest Income</t>
  </si>
  <si>
    <t>40500 · Mt Zion</t>
  </si>
  <si>
    <t>40600 · PROGRAM FEES</t>
  </si>
  <si>
    <t>40620 · Financial Educa. PROG Fees</t>
  </si>
  <si>
    <t>40621 · Credit report only</t>
  </si>
  <si>
    <t>40625 · FinEd, Consult w credit report</t>
  </si>
  <si>
    <t>40627 · Follow up appointments</t>
  </si>
  <si>
    <t>40628 · IDA Funds set up</t>
  </si>
  <si>
    <t>Total 40620 · Financial Educa. PROG Fees</t>
  </si>
  <si>
    <t>40630 · HBED Prog. Fees</t>
  </si>
  <si>
    <t>40632 · THDA - HBED 8 hr class fee</t>
  </si>
  <si>
    <t>40633 · HBED class paid by participant</t>
  </si>
  <si>
    <t>40634 · Home buyer ed consult for onlin</t>
  </si>
  <si>
    <t>40635 · Online HBED class paid by THDA</t>
  </si>
  <si>
    <t>Total 40630 · HBED Prog. Fees</t>
  </si>
  <si>
    <t>Total 40600 · PROGRAM FEES</t>
  </si>
  <si>
    <t>40699 · CONTRIBUTIONS</t>
  </si>
  <si>
    <t>40700 · Contributions-business</t>
  </si>
  <si>
    <t>40725 · In-Kind  RENT Contribution</t>
  </si>
  <si>
    <t>40750 · Contributions-individuals</t>
  </si>
  <si>
    <t>49100 · Fund raising income</t>
  </si>
  <si>
    <t>Total 40699 · CONTRIBUTIONS</t>
  </si>
  <si>
    <t>44500 · GOVERNMENT GRANTS</t>
  </si>
  <si>
    <t>40660 · HOUSING-DEV</t>
  </si>
  <si>
    <t>40663 · HOUSING DEVELOPER &amp; Admin. fees</t>
  </si>
  <si>
    <t>Total 44500 · GOVERNMENT GRANTS</t>
  </si>
  <si>
    <t>46000 · RENTAL INCOME</t>
  </si>
  <si>
    <t>Total 46000 · RENTAL INCOME</t>
  </si>
  <si>
    <t>Total Income</t>
  </si>
  <si>
    <t>Expense</t>
  </si>
  <si>
    <t>60210 · FUNDRAISING EXP.</t>
  </si>
  <si>
    <t>60220 · event fund raising exp</t>
  </si>
  <si>
    <t>Total 60210 · FUNDRAISING EXP.</t>
  </si>
  <si>
    <t>60549 · RENTAL PROPERTY EXPENSES</t>
  </si>
  <si>
    <t>60550 · PROPERTY MAINTENANCE</t>
  </si>
  <si>
    <t>60560 · Property Maintenance-duplex</t>
  </si>
  <si>
    <t>60600 · PROPERTY MANAGEMENT</t>
  </si>
  <si>
    <t>60650 · PROPERTY TAXES</t>
  </si>
  <si>
    <t>60750 · Interest exp. rental prop-Loan</t>
  </si>
  <si>
    <t>71800 · Utiliies Expense rental prop.</t>
  </si>
  <si>
    <t>Total 60549 · RENTAL PROPERTY EXPENSES</t>
  </si>
  <si>
    <t>62999 · EDUCATION PROGRAM EXP.</t>
  </si>
  <si>
    <t>60500 · IDA Matching Expense</t>
  </si>
  <si>
    <t>62150 · Outside Serv-credit reports</t>
  </si>
  <si>
    <t>63000 · HBED prg expenses</t>
  </si>
  <si>
    <t>63100 · Reim HBED fee paid THDA</t>
  </si>
  <si>
    <t>63200 · Class items -snacks, etc</t>
  </si>
  <si>
    <t>Total 63000 · HBED prg expenses</t>
  </si>
  <si>
    <t>65135 · Merchant CC exp.-Ed/Fin Prog.</t>
  </si>
  <si>
    <t>Total 62999 · EDUCATION PROGRAM EXP.</t>
  </si>
  <si>
    <t>65000 · OFFICE EXP.</t>
  </si>
  <si>
    <t>65020 · Postage, Mailing Service</t>
  </si>
  <si>
    <t>65040 · Supplies</t>
  </si>
  <si>
    <t>65060 · Intuit-QB payroll &amp; direct depo</t>
  </si>
  <si>
    <t>Total 65000 · OFFICE EXP.</t>
  </si>
  <si>
    <t>65999 · OPERATING EXP.</t>
  </si>
  <si>
    <t>62100 · Contract Services</t>
  </si>
  <si>
    <t>62110 · Accounting Fees</t>
  </si>
  <si>
    <t>70100 · Audit Expense-Accounting review</t>
  </si>
  <si>
    <t>Total 62100 · Contract Services</t>
  </si>
  <si>
    <t>66001 · Payroll Expense Tax &amp; Wages</t>
  </si>
  <si>
    <t>66000 · Payroll Expenses</t>
  </si>
  <si>
    <t>72000 · Payroll Tax Expense</t>
  </si>
  <si>
    <t>Total 66001 · Payroll Expense Tax &amp; Wages</t>
  </si>
  <si>
    <t>Total 65999 · OPERATING EXP.</t>
  </si>
  <si>
    <t>68300 · TRAVEL AND MEETINGS</t>
  </si>
  <si>
    <t>68320 · Transportation, hotel, meals</t>
  </si>
  <si>
    <t>68330 · Local mile, parking,etc-ExDir</t>
  </si>
  <si>
    <t>71650 · Training - Staff</t>
  </si>
  <si>
    <t>Total 68300 · TRAVEL AND MEETINGS</t>
  </si>
  <si>
    <t>70150 · Advertising &amp; Marketing Exp.</t>
  </si>
  <si>
    <t>65030 · Printing and Copying</t>
  </si>
  <si>
    <t>70150 · Advertising &amp; Marketing Exp. - Other</t>
  </si>
  <si>
    <t>Total 70150 · Advertising &amp; Marketing Exp.</t>
  </si>
  <si>
    <t>70250 · Consulting Fees</t>
  </si>
  <si>
    <t>70300 · Dues &amp; Subscriptions</t>
  </si>
  <si>
    <t>70399 · SUPPLIES &amp; EQUIPMENT</t>
  </si>
  <si>
    <t>70400 · Equipment Maintenance</t>
  </si>
  <si>
    <t>70450 · Equipment Purchase Expense</t>
  </si>
  <si>
    <t>70460 · Equip. tech., software, website</t>
  </si>
  <si>
    <t>Total 70399 · SUPPLIES &amp; EQUIPMENT</t>
  </si>
  <si>
    <t>70549 · INSURANCE</t>
  </si>
  <si>
    <t>70550 · Insurance O&amp;D Liability</t>
  </si>
  <si>
    <t>70555 · Insurance Liability Property</t>
  </si>
  <si>
    <t>Total 70549 · INSURANCE</t>
  </si>
  <si>
    <t>70700 · Legal &amp; Other Profess Hous.Dev</t>
  </si>
  <si>
    <t>70750 · Licenses &amp; Fees</t>
  </si>
  <si>
    <t>71100 · IN-KIND RENT EXPENSE ETC</t>
  </si>
  <si>
    <t>71750 · Board development-train, mtg,</t>
  </si>
  <si>
    <t>Total Expense</t>
  </si>
  <si>
    <t>Net Ordinary Income</t>
  </si>
  <si>
    <t>Other Income</t>
  </si>
  <si>
    <t>49199 · OTHER INCOME</t>
  </si>
  <si>
    <t>49600 · Net Gain on sale of real estate</t>
  </si>
  <si>
    <t>Total 49199 · OTHER INCOME</t>
  </si>
  <si>
    <t>Total Other Income</t>
  </si>
  <si>
    <t>Other Expense</t>
  </si>
  <si>
    <t>65100 · OTHER TYPES OF EXP.</t>
  </si>
  <si>
    <t>70160 · Bank Fees -wire trans, paper st</t>
  </si>
  <si>
    <t>Total 65100 · OTHER TYPES OF EXP.</t>
  </si>
  <si>
    <t>Total Other Expense</t>
  </si>
  <si>
    <t>Net Other Income</t>
  </si>
  <si>
    <t>Net Income</t>
  </si>
  <si>
    <t>ALLOCATIONS</t>
  </si>
  <si>
    <t>TRAINING</t>
  </si>
  <si>
    <t>%</t>
  </si>
  <si>
    <t>HOUSING DEV</t>
  </si>
  <si>
    <t>RENTAL ASSET MAN.</t>
  </si>
  <si>
    <t>FUNDRAISING</t>
  </si>
  <si>
    <t>PROOF%</t>
  </si>
  <si>
    <t>PROOF $</t>
  </si>
  <si>
    <t>ADMINISTRATION</t>
  </si>
  <si>
    <t>66000 · Intuit-QB process vendor</t>
  </si>
  <si>
    <t>40662 · HOUSING-DEV Other (non-NLCDC)</t>
  </si>
  <si>
    <t>BUDGET 2019</t>
  </si>
  <si>
    <t>Com Eng</t>
  </si>
  <si>
    <t>Exe Dir</t>
  </si>
  <si>
    <t>Fin &amp; Op</t>
  </si>
  <si>
    <t>Hs &amp; Prg</t>
  </si>
  <si>
    <t>Admin Asst.</t>
  </si>
  <si>
    <t>taxes per pr</t>
  </si>
  <si>
    <t>PR salary</t>
  </si>
  <si>
    <t>total salary</t>
  </si>
  <si>
    <t>perc salaries</t>
  </si>
  <si>
    <t>65160 - Other costs-small novelty-gifts</t>
  </si>
  <si>
    <t>65010 · Books, Subscriptions, Reference</t>
  </si>
  <si>
    <t>60950 · Rental Turn Over Exp.</t>
  </si>
  <si>
    <t>62180 · Staff Search Exp.</t>
  </si>
  <si>
    <t>65400 - PR other search)</t>
  </si>
  <si>
    <t>Kay Jan full mth</t>
  </si>
  <si>
    <t>Kay Feb full mtn</t>
  </si>
  <si>
    <t>Kay Mr 1/2 mth</t>
  </si>
  <si>
    <t>Terri Feb 1/2 mth</t>
  </si>
  <si>
    <t>Terri 10 full mth</t>
  </si>
  <si>
    <t>see below</t>
  </si>
  <si>
    <t>ED for 2020</t>
  </si>
  <si>
    <t>TOTAL ED 2020</t>
  </si>
  <si>
    <t>SEE BELOW</t>
  </si>
  <si>
    <t>60230 · fund raising materials, software</t>
  </si>
  <si>
    <t>exp</t>
  </si>
  <si>
    <t>move out</t>
  </si>
  <si>
    <t>fee place</t>
  </si>
  <si>
    <t>man fees</t>
  </si>
  <si>
    <t>main</t>
  </si>
  <si>
    <t>util</t>
  </si>
  <si>
    <t>landsc</t>
  </si>
  <si>
    <t>pest</t>
  </si>
  <si>
    <t>EST total exp</t>
  </si>
  <si>
    <t>adj one time</t>
  </si>
  <si>
    <t>63300 · Software, online, equip for Ed prog.</t>
  </si>
  <si>
    <t>Group totals</t>
  </si>
  <si>
    <t>60850 Capital Reserve Allocation</t>
  </si>
  <si>
    <t>68310 · Conference, convention, meeting</t>
  </si>
  <si>
    <t>60240 · fund raising consultant fee</t>
  </si>
  <si>
    <t>Total rent</t>
  </si>
  <si>
    <t>60770 · Hs. Dev. Interest exp</t>
  </si>
  <si>
    <t>62140 · Legal Fees other than hs. Dev.</t>
  </si>
  <si>
    <t>71900 · Volunteer/staff appreciation</t>
  </si>
  <si>
    <t>44800 · Indirect Public Support</t>
  </si>
  <si>
    <t>60150 · Wages</t>
  </si>
  <si>
    <t>49200 - Reimbursed exp.</t>
  </si>
  <si>
    <t>706500 - Interest-late charges</t>
  </si>
  <si>
    <t>Budget 2022</t>
  </si>
  <si>
    <t>43330 - Foundation- trust grants</t>
  </si>
  <si>
    <t>71550 - legal exp rental</t>
  </si>
  <si>
    <t>70170 · conference fees</t>
  </si>
  <si>
    <t>65055 · Reim. staff phone &amp; internet</t>
  </si>
  <si>
    <t>68332 · Local Mile-Fin. Dir</t>
  </si>
  <si>
    <t>68334 · Local mile etc-Hs. Counselor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</si>
</sst>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8"/>
      <color rgb="FFFF0000"/>
      <name val="Arial"/>
      <family val="2"/>
    </font>
    <font>
      <u val="singleAccounting"/>
      <sz val="8"/>
      <color rgb="FFFF0000"/>
      <name val="Calibri"/>
      <family val="2"/>
      <scheme val="minor"/>
    </font>
    <font>
      <b/>
      <sz val="10"/>
      <color rgb="FF323232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32323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</cellStyleXfs>
  <cellXfs count="2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4" fontId="2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2" applyFont="1"/>
    <xf numFmtId="49" fontId="2" fillId="0" borderId="0" xfId="0" applyNumberFormat="1" applyFont="1" applyAlignment="1">
      <alignment horizontal="center"/>
    </xf>
    <xf numFmtId="44" fontId="5" fillId="0" borderId="0" xfId="0" applyNumberFormat="1" applyFont="1"/>
    <xf numFmtId="0" fontId="6" fillId="0" borderId="0" xfId="0" applyFont="1"/>
    <xf numFmtId="164" fontId="2" fillId="0" borderId="0" xfId="3" applyNumberFormat="1" applyFont="1"/>
    <xf numFmtId="44" fontId="2" fillId="0" borderId="0" xfId="2" applyFont="1" applyAlignment="1">
      <alignment horizontal="center"/>
    </xf>
    <xf numFmtId="49" fontId="1" fillId="0" borderId="2" xfId="0" applyNumberFormat="1" applyFont="1" applyBorder="1" applyAlignment="1">
      <alignment wrapText="1"/>
    </xf>
    <xf numFmtId="164" fontId="1" fillId="0" borderId="2" xfId="3" applyNumberFormat="1" applyFont="1" applyBorder="1" applyAlignment="1">
      <alignment wrapText="1"/>
    </xf>
    <xf numFmtId="44" fontId="1" fillId="0" borderId="2" xfId="2" applyFont="1" applyBorder="1" applyAlignment="1">
      <alignment wrapText="1"/>
    </xf>
    <xf numFmtId="0" fontId="7" fillId="0" borderId="2" xfId="2" applyNumberFormat="1" applyFont="1" applyBorder="1" applyAlignment="1">
      <alignment horizontal="center"/>
    </xf>
    <xf numFmtId="9" fontId="2" fillId="0" borderId="0" xfId="3" applyFont="1"/>
    <xf numFmtId="9" fontId="0" fillId="0" borderId="0" xfId="3" applyFont="1"/>
    <xf numFmtId="164" fontId="8" fillId="0" borderId="0" xfId="3" applyNumberFormat="1" applyFont="1"/>
    <xf numFmtId="44" fontId="5" fillId="5" borderId="0" xfId="2" applyFont="1" applyFill="1"/>
    <xf numFmtId="0" fontId="5" fillId="5" borderId="0" xfId="0" applyFont="1" applyFill="1"/>
    <xf numFmtId="44" fontId="6" fillId="5" borderId="0" xfId="0" applyNumberFormat="1" applyFont="1" applyFill="1"/>
    <xf numFmtId="44" fontId="5" fillId="5" borderId="0" xfId="0" applyNumberFormat="1" applyFont="1" applyFill="1"/>
    <xf numFmtId="9" fontId="5" fillId="0" borderId="0" xfId="3" applyFont="1"/>
    <xf numFmtId="9" fontId="5" fillId="5" borderId="0" xfId="3" applyFont="1" applyFill="1"/>
    <xf numFmtId="9" fontId="6" fillId="5" borderId="0" xfId="3" applyFont="1" applyFill="1"/>
    <xf numFmtId="49" fontId="10" fillId="0" borderId="0" xfId="0" applyNumberFormat="1" applyFont="1"/>
    <xf numFmtId="44" fontId="11" fillId="0" borderId="0" xfId="2" applyFont="1"/>
    <xf numFmtId="0" fontId="9" fillId="0" borderId="0" xfId="0" applyFont="1"/>
    <xf numFmtId="9" fontId="5" fillId="0" borderId="0" xfId="3" applyFont="1" applyFill="1"/>
    <xf numFmtId="9" fontId="6" fillId="0" borderId="0" xfId="3" applyFont="1" applyFill="1"/>
    <xf numFmtId="44" fontId="0" fillId="0" borderId="0" xfId="0" applyNumberFormat="1"/>
    <xf numFmtId="0" fontId="0" fillId="0" borderId="3" xfId="0" applyNumberFormat="1" applyBorder="1"/>
    <xf numFmtId="0" fontId="0" fillId="0" borderId="3" xfId="2" applyNumberFormat="1" applyFont="1" applyBorder="1"/>
    <xf numFmtId="0" fontId="0" fillId="0" borderId="3" xfId="0" applyBorder="1"/>
    <xf numFmtId="44" fontId="0" fillId="0" borderId="3" xfId="2" applyFont="1" applyBorder="1"/>
    <xf numFmtId="44" fontId="0" fillId="0" borderId="3" xfId="0" applyNumberFormat="1" applyBorder="1"/>
    <xf numFmtId="49" fontId="12" fillId="0" borderId="3" xfId="0" applyNumberFormat="1" applyFont="1" applyBorder="1"/>
    <xf numFmtId="44" fontId="7" fillId="0" borderId="3" xfId="0" applyNumberFormat="1" applyFont="1" applyBorder="1"/>
    <xf numFmtId="164" fontId="12" fillId="0" borderId="3" xfId="3" applyNumberFormat="1" applyFont="1" applyBorder="1"/>
    <xf numFmtId="44" fontId="12" fillId="0" borderId="3" xfId="2" applyFont="1" applyBorder="1"/>
    <xf numFmtId="0" fontId="7" fillId="0" borderId="0" xfId="0" applyFont="1"/>
    <xf numFmtId="49" fontId="15" fillId="0" borderId="0" xfId="0" applyNumberFormat="1" applyFont="1" applyAlignment="1">
      <alignment horizontal="center"/>
    </xf>
    <xf numFmtId="49" fontId="15" fillId="6" borderId="0" xfId="0" applyNumberFormat="1" applyFont="1" applyFill="1" applyAlignment="1"/>
    <xf numFmtId="49" fontId="15" fillId="9" borderId="0" xfId="0" applyNumberFormat="1" applyFont="1" applyFill="1" applyAlignment="1"/>
    <xf numFmtId="44" fontId="16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49" fontId="12" fillId="0" borderId="0" xfId="0" applyNumberFormat="1" applyFont="1" applyAlignment="1"/>
    <xf numFmtId="49" fontId="12" fillId="9" borderId="4" xfId="0" applyNumberFormat="1" applyFont="1" applyFill="1" applyBorder="1" applyAlignment="1"/>
    <xf numFmtId="164" fontId="12" fillId="9" borderId="4" xfId="3" applyNumberFormat="1" applyFont="1" applyFill="1" applyBorder="1" applyAlignment="1"/>
    <xf numFmtId="44" fontId="12" fillId="9" borderId="4" xfId="2" applyFont="1" applyFill="1" applyBorder="1" applyAlignment="1"/>
    <xf numFmtId="0" fontId="7" fillId="0" borderId="0" xfId="0" applyFont="1" applyAlignment="1"/>
    <xf numFmtId="49" fontId="15" fillId="0" borderId="0" xfId="0" applyNumberFormat="1" applyFont="1"/>
    <xf numFmtId="164" fontId="15" fillId="0" borderId="3" xfId="3" applyNumberFormat="1" applyFont="1" applyBorder="1"/>
    <xf numFmtId="49" fontId="15" fillId="0" borderId="3" xfId="0" applyNumberFormat="1" applyFont="1" applyBorder="1"/>
    <xf numFmtId="44" fontId="15" fillId="0" borderId="3" xfId="2" applyFont="1" applyBorder="1"/>
    <xf numFmtId="44" fontId="16" fillId="0" borderId="0" xfId="2" applyFont="1"/>
    <xf numFmtId="0" fontId="17" fillId="0" borderId="0" xfId="0" applyFont="1"/>
    <xf numFmtId="44" fontId="17" fillId="0" borderId="3" xfId="0" applyNumberFormat="1" applyFont="1" applyBorder="1"/>
    <xf numFmtId="49" fontId="15" fillId="3" borderId="3" xfId="0" applyNumberFormat="1" applyFont="1" applyFill="1" applyBorder="1"/>
    <xf numFmtId="44" fontId="17" fillId="3" borderId="3" xfId="0" applyNumberFormat="1" applyFont="1" applyFill="1" applyBorder="1"/>
    <xf numFmtId="164" fontId="15" fillId="3" borderId="3" xfId="3" applyNumberFormat="1" applyFont="1" applyFill="1" applyBorder="1"/>
    <xf numFmtId="44" fontId="15" fillId="3" borderId="3" xfId="2" applyFont="1" applyFill="1" applyBorder="1"/>
    <xf numFmtId="49" fontId="12" fillId="0" borderId="0" xfId="0" applyNumberFormat="1" applyFont="1"/>
    <xf numFmtId="49" fontId="12" fillId="8" borderId="5" xfId="0" applyNumberFormat="1" applyFont="1" applyFill="1" applyBorder="1"/>
    <xf numFmtId="44" fontId="12" fillId="8" borderId="5" xfId="2" applyFont="1" applyFill="1" applyBorder="1"/>
    <xf numFmtId="44" fontId="17" fillId="0" borderId="6" xfId="0" applyNumberFormat="1" applyFont="1" applyBorder="1"/>
    <xf numFmtId="164" fontId="15" fillId="0" borderId="0" xfId="3" applyNumberFormat="1" applyFont="1"/>
    <xf numFmtId="44" fontId="15" fillId="0" borderId="0" xfId="2" applyFont="1"/>
    <xf numFmtId="49" fontId="15" fillId="7" borderId="3" xfId="0" applyNumberFormat="1" applyFont="1" applyFill="1" applyBorder="1"/>
    <xf numFmtId="44" fontId="17" fillId="7" borderId="3" xfId="0" applyNumberFormat="1" applyFont="1" applyFill="1" applyBorder="1"/>
    <xf numFmtId="44" fontId="15" fillId="7" borderId="3" xfId="2" applyFont="1" applyFill="1" applyBorder="1"/>
    <xf numFmtId="0" fontId="15" fillId="0" borderId="0" xfId="0" applyFont="1"/>
    <xf numFmtId="0" fontId="15" fillId="0" borderId="3" xfId="0" applyFont="1" applyBorder="1"/>
    <xf numFmtId="49" fontId="15" fillId="8" borderId="0" xfId="0" applyNumberFormat="1" applyFont="1" applyFill="1"/>
    <xf numFmtId="44" fontId="15" fillId="8" borderId="0" xfId="2" applyFont="1" applyFill="1"/>
    <xf numFmtId="44" fontId="17" fillId="8" borderId="3" xfId="0" applyNumberFormat="1" applyFont="1" applyFill="1" applyBorder="1"/>
    <xf numFmtId="49" fontId="15" fillId="8" borderId="3" xfId="0" applyNumberFormat="1" applyFont="1" applyFill="1" applyBorder="1"/>
    <xf numFmtId="44" fontId="15" fillId="8" borderId="3" xfId="2" applyFont="1" applyFill="1" applyBorder="1"/>
    <xf numFmtId="44" fontId="17" fillId="8" borderId="3" xfId="2" applyFont="1" applyFill="1" applyBorder="1"/>
    <xf numFmtId="49" fontId="12" fillId="8" borderId="1" xfId="0" applyNumberFormat="1" applyFont="1" applyFill="1" applyBorder="1"/>
    <xf numFmtId="0" fontId="15" fillId="0" borderId="6" xfId="0" applyFont="1" applyBorder="1"/>
    <xf numFmtId="164" fontId="15" fillId="0" borderId="6" xfId="3" applyNumberFormat="1" applyFont="1" applyBorder="1"/>
    <xf numFmtId="44" fontId="15" fillId="0" borderId="6" xfId="2" applyFont="1" applyBorder="1"/>
    <xf numFmtId="0" fontId="12" fillId="0" borderId="0" xfId="0" applyFont="1"/>
    <xf numFmtId="0" fontId="12" fillId="0" borderId="3" xfId="0" applyFont="1" applyBorder="1"/>
    <xf numFmtId="49" fontId="12" fillId="5" borderId="3" xfId="0" applyNumberFormat="1" applyFont="1" applyFill="1" applyBorder="1" applyAlignment="1">
      <alignment wrapText="1"/>
    </xf>
    <xf numFmtId="164" fontId="12" fillId="5" borderId="3" xfId="3" applyNumberFormat="1" applyFont="1" applyFill="1" applyBorder="1" applyAlignment="1">
      <alignment wrapText="1"/>
    </xf>
    <xf numFmtId="44" fontId="14" fillId="5" borderId="3" xfId="0" applyNumberFormat="1" applyFont="1" applyFill="1" applyBorder="1"/>
    <xf numFmtId="9" fontId="15" fillId="0" borderId="3" xfId="3" applyNumberFormat="1" applyFont="1" applyBorder="1"/>
    <xf numFmtId="9" fontId="15" fillId="3" borderId="3" xfId="3" applyNumberFormat="1" applyFont="1" applyFill="1" applyBorder="1"/>
    <xf numFmtId="9" fontId="12" fillId="8" borderId="5" xfId="3" applyNumberFormat="1" applyFont="1" applyFill="1" applyBorder="1"/>
    <xf numFmtId="9" fontId="15" fillId="0" borderId="0" xfId="3" applyNumberFormat="1" applyFont="1"/>
    <xf numFmtId="9" fontId="12" fillId="0" borderId="3" xfId="3" applyNumberFormat="1" applyFont="1" applyBorder="1"/>
    <xf numFmtId="9" fontId="15" fillId="7" borderId="3" xfId="3" applyNumberFormat="1" applyFont="1" applyFill="1" applyBorder="1"/>
    <xf numFmtId="9" fontId="15" fillId="8" borderId="0" xfId="3" applyNumberFormat="1" applyFont="1" applyFill="1"/>
    <xf numFmtId="9" fontId="15" fillId="8" borderId="3" xfId="3" applyNumberFormat="1" applyFont="1" applyFill="1" applyBorder="1"/>
    <xf numFmtId="9" fontId="18" fillId="8" borderId="5" xfId="3" applyNumberFormat="1" applyFont="1" applyFill="1" applyBorder="1"/>
    <xf numFmtId="9" fontId="15" fillId="8" borderId="3" xfId="2" applyNumberFormat="1" applyFont="1" applyFill="1" applyBorder="1"/>
    <xf numFmtId="44" fontId="16" fillId="0" borderId="8" xfId="2" applyFont="1" applyBorder="1"/>
    <xf numFmtId="44" fontId="18" fillId="8" borderId="7" xfId="2" applyFont="1" applyFill="1" applyBorder="1"/>
    <xf numFmtId="44" fontId="13" fillId="0" borderId="8" xfId="2" applyFont="1" applyBorder="1"/>
    <xf numFmtId="44" fontId="16" fillId="7" borderId="8" xfId="2" applyFont="1" applyFill="1" applyBorder="1"/>
    <xf numFmtId="44" fontId="16" fillId="0" borderId="9" xfId="2" applyFont="1" applyBorder="1"/>
    <xf numFmtId="49" fontId="15" fillId="0" borderId="8" xfId="0" applyNumberFormat="1" applyFont="1" applyBorder="1"/>
    <xf numFmtId="49" fontId="15" fillId="0" borderId="10" xfId="0" applyNumberFormat="1" applyFont="1" applyBorder="1"/>
    <xf numFmtId="49" fontId="15" fillId="2" borderId="10" xfId="0" applyNumberFormat="1" applyFont="1" applyFill="1" applyBorder="1"/>
    <xf numFmtId="49" fontId="15" fillId="3" borderId="10" xfId="0" applyNumberFormat="1" applyFont="1" applyFill="1" applyBorder="1"/>
    <xf numFmtId="44" fontId="17" fillId="3" borderId="10" xfId="0" applyNumberFormat="1" applyFont="1" applyFill="1" applyBorder="1"/>
    <xf numFmtId="9" fontId="15" fillId="3" borderId="10" xfId="3" applyNumberFormat="1" applyFont="1" applyFill="1" applyBorder="1"/>
    <xf numFmtId="164" fontId="15" fillId="3" borderId="10" xfId="3" applyNumberFormat="1" applyFont="1" applyFill="1" applyBorder="1"/>
    <xf numFmtId="44" fontId="15" fillId="3" borderId="10" xfId="2" applyFont="1" applyFill="1" applyBorder="1"/>
    <xf numFmtId="49" fontId="15" fillId="0" borderId="6" xfId="0" applyNumberFormat="1" applyFont="1" applyBorder="1"/>
    <xf numFmtId="49" fontId="15" fillId="3" borderId="6" xfId="0" applyNumberFormat="1" applyFont="1" applyFill="1" applyBorder="1"/>
    <xf numFmtId="44" fontId="17" fillId="3" borderId="6" xfId="0" applyNumberFormat="1" applyFont="1" applyFill="1" applyBorder="1"/>
    <xf numFmtId="9" fontId="15" fillId="3" borderId="6" xfId="3" applyNumberFormat="1" applyFont="1" applyFill="1" applyBorder="1"/>
    <xf numFmtId="164" fontId="15" fillId="3" borderId="6" xfId="3" applyNumberFormat="1" applyFont="1" applyFill="1" applyBorder="1"/>
    <xf numFmtId="44" fontId="15" fillId="3" borderId="6" xfId="2" applyFont="1" applyFill="1" applyBorder="1"/>
    <xf numFmtId="49" fontId="15" fillId="3" borderId="12" xfId="0" applyNumberFormat="1" applyFont="1" applyFill="1" applyBorder="1"/>
    <xf numFmtId="49" fontId="15" fillId="3" borderId="13" xfId="0" applyNumberFormat="1" applyFont="1" applyFill="1" applyBorder="1"/>
    <xf numFmtId="44" fontId="17" fillId="3" borderId="13" xfId="0" applyNumberFormat="1" applyFont="1" applyFill="1" applyBorder="1"/>
    <xf numFmtId="9" fontId="15" fillId="3" borderId="13" xfId="3" applyNumberFormat="1" applyFont="1" applyFill="1" applyBorder="1"/>
    <xf numFmtId="164" fontId="15" fillId="3" borderId="13" xfId="3" applyNumberFormat="1" applyFont="1" applyFill="1" applyBorder="1"/>
    <xf numFmtId="44" fontId="15" fillId="3" borderId="13" xfId="2" applyFont="1" applyFill="1" applyBorder="1"/>
    <xf numFmtId="44" fontId="16" fillId="3" borderId="14" xfId="2" applyFont="1" applyFill="1" applyBorder="1"/>
    <xf numFmtId="44" fontId="17" fillId="0" borderId="10" xfId="0" applyNumberFormat="1" applyFont="1" applyBorder="1"/>
    <xf numFmtId="9" fontId="15" fillId="0" borderId="10" xfId="3" applyNumberFormat="1" applyFont="1" applyBorder="1"/>
    <xf numFmtId="164" fontId="15" fillId="0" borderId="10" xfId="3" applyNumberFormat="1" applyFont="1" applyBorder="1"/>
    <xf numFmtId="44" fontId="15" fillId="0" borderId="10" xfId="2" applyFont="1" applyBorder="1"/>
    <xf numFmtId="44" fontId="16" fillId="0" borderId="11" xfId="2" applyFont="1" applyBorder="1"/>
    <xf numFmtId="49" fontId="12" fillId="8" borderId="15" xfId="0" applyNumberFormat="1" applyFont="1" applyFill="1" applyBorder="1"/>
    <xf numFmtId="44" fontId="17" fillId="8" borderId="15" xfId="2" applyFont="1" applyFill="1" applyBorder="1"/>
    <xf numFmtId="9" fontId="12" fillId="8" borderId="15" xfId="3" applyNumberFormat="1" applyFont="1" applyFill="1" applyBorder="1"/>
    <xf numFmtId="44" fontId="12" fillId="8" borderId="15" xfId="2" applyFont="1" applyFill="1" applyBorder="1"/>
    <xf numFmtId="49" fontId="15" fillId="7" borderId="6" xfId="0" applyNumberFormat="1" applyFont="1" applyFill="1" applyBorder="1"/>
    <xf numFmtId="44" fontId="17" fillId="7" borderId="6" xfId="0" applyNumberFormat="1" applyFont="1" applyFill="1" applyBorder="1"/>
    <xf numFmtId="9" fontId="15" fillId="7" borderId="6" xfId="3" applyNumberFormat="1" applyFont="1" applyFill="1" applyBorder="1"/>
    <xf numFmtId="44" fontId="15" fillId="7" borderId="6" xfId="2" applyFont="1" applyFill="1" applyBorder="1"/>
    <xf numFmtId="9" fontId="15" fillId="0" borderId="6" xfId="3" applyNumberFormat="1" applyFont="1" applyBorder="1"/>
    <xf numFmtId="49" fontId="15" fillId="4" borderId="6" xfId="0" applyNumberFormat="1" applyFont="1" applyFill="1" applyBorder="1"/>
    <xf numFmtId="49" fontId="15" fillId="0" borderId="6" xfId="0" applyNumberFormat="1" applyFont="1" applyFill="1" applyBorder="1"/>
    <xf numFmtId="44" fontId="17" fillId="0" borderId="6" xfId="0" applyNumberFormat="1" applyFont="1" applyFill="1" applyBorder="1"/>
    <xf numFmtId="9" fontId="15" fillId="0" borderId="6" xfId="3" applyNumberFormat="1" applyFont="1" applyFill="1" applyBorder="1"/>
    <xf numFmtId="44" fontId="15" fillId="0" borderId="6" xfId="2" applyFont="1" applyFill="1" applyBorder="1"/>
    <xf numFmtId="44" fontId="16" fillId="0" borderId="9" xfId="2" applyFont="1" applyFill="1" applyBorder="1"/>
    <xf numFmtId="44" fontId="17" fillId="7" borderId="10" xfId="0" applyNumberFormat="1" applyFont="1" applyFill="1" applyBorder="1"/>
    <xf numFmtId="9" fontId="15" fillId="7" borderId="10" xfId="3" applyNumberFormat="1" applyFont="1" applyFill="1" applyBorder="1"/>
    <xf numFmtId="44" fontId="15" fillId="7" borderId="10" xfId="2" applyFont="1" applyFill="1" applyBorder="1"/>
    <xf numFmtId="44" fontId="15" fillId="0" borderId="8" xfId="2" applyFont="1" applyBorder="1"/>
    <xf numFmtId="44" fontId="17" fillId="8" borderId="6" xfId="0" applyNumberFormat="1" applyFont="1" applyFill="1" applyBorder="1"/>
    <xf numFmtId="44" fontId="12" fillId="3" borderId="17" xfId="2" applyFont="1" applyFill="1" applyBorder="1"/>
    <xf numFmtId="44" fontId="12" fillId="3" borderId="18" xfId="2" applyFont="1" applyFill="1" applyBorder="1"/>
    <xf numFmtId="44" fontId="7" fillId="3" borderId="18" xfId="0" applyNumberFormat="1" applyFont="1" applyFill="1" applyBorder="1"/>
    <xf numFmtId="9" fontId="12" fillId="3" borderId="18" xfId="3" applyNumberFormat="1" applyFont="1" applyFill="1" applyBorder="1"/>
    <xf numFmtId="0" fontId="12" fillId="0" borderId="3" xfId="0" applyFont="1" applyFill="1" applyBorder="1"/>
    <xf numFmtId="44" fontId="7" fillId="8" borderId="5" xfId="2" applyFont="1" applyFill="1" applyBorder="1"/>
    <xf numFmtId="49" fontId="15" fillId="6" borderId="0" xfId="0" applyNumberFormat="1" applyFont="1" applyFill="1" applyAlignment="1">
      <alignment wrapText="1"/>
    </xf>
    <xf numFmtId="49" fontId="15" fillId="0" borderId="0" xfId="0" applyNumberFormat="1" applyFont="1" applyBorder="1"/>
    <xf numFmtId="49" fontId="15" fillId="0" borderId="0" xfId="0" applyNumberFormat="1" applyFont="1" applyFill="1"/>
    <xf numFmtId="49" fontId="15" fillId="0" borderId="8" xfId="0" applyNumberFormat="1" applyFont="1" applyFill="1" applyBorder="1"/>
    <xf numFmtId="49" fontId="15" fillId="0" borderId="20" xfId="0" applyNumberFormat="1" applyFont="1" applyFill="1" applyBorder="1"/>
    <xf numFmtId="49" fontId="15" fillId="0" borderId="21" xfId="0" applyNumberFormat="1" applyFont="1" applyFill="1" applyBorder="1"/>
    <xf numFmtId="44" fontId="17" fillId="0" borderId="21" xfId="0" applyNumberFormat="1" applyFont="1" applyFill="1" applyBorder="1"/>
    <xf numFmtId="9" fontId="15" fillId="0" borderId="21" xfId="3" applyNumberFormat="1" applyFont="1" applyFill="1" applyBorder="1"/>
    <xf numFmtId="44" fontId="15" fillId="0" borderId="21" xfId="2" applyFont="1" applyFill="1" applyBorder="1"/>
    <xf numFmtId="44" fontId="16" fillId="0" borderId="22" xfId="2" applyFont="1" applyFill="1" applyBorder="1"/>
    <xf numFmtId="0" fontId="17" fillId="0" borderId="0" xfId="0" applyFont="1" applyFill="1"/>
    <xf numFmtId="44" fontId="16" fillId="10" borderId="22" xfId="2" applyFont="1" applyFill="1" applyBorder="1"/>
    <xf numFmtId="49" fontId="15" fillId="11" borderId="3" xfId="0" applyNumberFormat="1" applyFont="1" applyFill="1" applyBorder="1"/>
    <xf numFmtId="44" fontId="17" fillId="11" borderId="3" xfId="0" applyNumberFormat="1" applyFont="1" applyFill="1" applyBorder="1"/>
    <xf numFmtId="9" fontId="15" fillId="11" borderId="3" xfId="3" applyNumberFormat="1" applyFont="1" applyFill="1" applyBorder="1"/>
    <xf numFmtId="0" fontId="15" fillId="11" borderId="0" xfId="0" applyFont="1" applyFill="1"/>
    <xf numFmtId="44" fontId="15" fillId="10" borderId="0" xfId="2" applyFont="1" applyFill="1"/>
    <xf numFmtId="49" fontId="15" fillId="12" borderId="3" xfId="0" applyNumberFormat="1" applyFont="1" applyFill="1" applyBorder="1"/>
    <xf numFmtId="44" fontId="17" fillId="12" borderId="3" xfId="0" applyNumberFormat="1" applyFont="1" applyFill="1" applyBorder="1"/>
    <xf numFmtId="9" fontId="15" fillId="12" borderId="3" xfId="3" applyNumberFormat="1" applyFont="1" applyFill="1" applyBorder="1"/>
    <xf numFmtId="44" fontId="15" fillId="8" borderId="6" xfId="2" applyFont="1" applyFill="1" applyBorder="1"/>
    <xf numFmtId="165" fontId="3" fillId="0" borderId="0" xfId="2" applyNumberFormat="1" applyFont="1" applyAlignment="1">
      <alignment horizontal="center"/>
    </xf>
    <xf numFmtId="165" fontId="13" fillId="0" borderId="8" xfId="2" applyNumberFormat="1" applyFont="1" applyBorder="1" applyAlignment="1">
      <alignment wrapText="1"/>
    </xf>
    <xf numFmtId="165" fontId="16" fillId="0" borderId="8" xfId="2" applyNumberFormat="1" applyFont="1" applyBorder="1"/>
    <xf numFmtId="165" fontId="16" fillId="3" borderId="8" xfId="2" applyNumberFormat="1" applyFont="1" applyFill="1" applyBorder="1"/>
    <xf numFmtId="165" fontId="16" fillId="3" borderId="11" xfId="2" applyNumberFormat="1" applyFont="1" applyFill="1" applyBorder="1"/>
    <xf numFmtId="165" fontId="16" fillId="3" borderId="14" xfId="2" applyNumberFormat="1" applyFont="1" applyFill="1" applyBorder="1"/>
    <xf numFmtId="165" fontId="16" fillId="3" borderId="9" xfId="2" applyNumberFormat="1" applyFont="1" applyFill="1" applyBorder="1"/>
    <xf numFmtId="165" fontId="16" fillId="0" borderId="11" xfId="2" applyNumberFormat="1" applyFont="1" applyBorder="1"/>
    <xf numFmtId="165" fontId="18" fillId="8" borderId="16" xfId="2" applyNumberFormat="1" applyFont="1" applyFill="1" applyBorder="1"/>
    <xf numFmtId="165" fontId="16" fillId="0" borderId="0" xfId="2" applyNumberFormat="1" applyFont="1"/>
    <xf numFmtId="165" fontId="13" fillId="0" borderId="8" xfId="2" applyNumberFormat="1" applyFont="1" applyBorder="1"/>
    <xf numFmtId="165" fontId="16" fillId="7" borderId="8" xfId="2" applyNumberFormat="1" applyFont="1" applyFill="1" applyBorder="1"/>
    <xf numFmtId="165" fontId="16" fillId="7" borderId="9" xfId="2" applyNumberFormat="1" applyFont="1" applyFill="1" applyBorder="1"/>
    <xf numFmtId="165" fontId="16" fillId="10" borderId="14" xfId="2" applyNumberFormat="1" applyFont="1" applyFill="1" applyBorder="1"/>
    <xf numFmtId="165" fontId="16" fillId="0" borderId="22" xfId="2" applyNumberFormat="1" applyFont="1" applyFill="1" applyBorder="1"/>
    <xf numFmtId="165" fontId="16" fillId="0" borderId="9" xfId="2" applyNumberFormat="1" applyFont="1" applyBorder="1"/>
    <xf numFmtId="165" fontId="16" fillId="0" borderId="9" xfId="2" applyNumberFormat="1" applyFont="1" applyFill="1" applyBorder="1"/>
    <xf numFmtId="165" fontId="16" fillId="7" borderId="11" xfId="2" applyNumberFormat="1" applyFont="1" applyFill="1" applyBorder="1"/>
    <xf numFmtId="165" fontId="13" fillId="3" borderId="19" xfId="2" applyNumberFormat="1" applyFont="1" applyFill="1" applyBorder="1"/>
    <xf numFmtId="165" fontId="19" fillId="8" borderId="0" xfId="2" applyNumberFormat="1" applyFont="1" applyFill="1"/>
    <xf numFmtId="165" fontId="13" fillId="8" borderId="19" xfId="2" applyNumberFormat="1" applyFont="1" applyFill="1" applyBorder="1"/>
    <xf numFmtId="165" fontId="3" fillId="10" borderId="8" xfId="2" applyNumberFormat="1" applyFont="1" applyFill="1" applyBorder="1"/>
    <xf numFmtId="165" fontId="17" fillId="7" borderId="3" xfId="0" applyNumberFormat="1" applyFont="1" applyFill="1" applyBorder="1"/>
    <xf numFmtId="165" fontId="17" fillId="12" borderId="3" xfId="0" applyNumberFormat="1" applyFont="1" applyFill="1" applyBorder="1"/>
    <xf numFmtId="165" fontId="3" fillId="8" borderId="8" xfId="2" applyNumberFormat="1" applyFont="1" applyFill="1" applyBorder="1"/>
    <xf numFmtId="165" fontId="18" fillId="8" borderId="7" xfId="2" applyNumberFormat="1" applyFont="1" applyFill="1" applyBorder="1"/>
    <xf numFmtId="164" fontId="15" fillId="0" borderId="21" xfId="3" applyNumberFormat="1" applyFont="1" applyFill="1" applyBorder="1"/>
    <xf numFmtId="0" fontId="13" fillId="0" borderId="8" xfId="0" applyFont="1" applyBorder="1" applyAlignment="1"/>
    <xf numFmtId="44" fontId="13" fillId="0" borderId="9" xfId="0" applyNumberFormat="1" applyFont="1" applyBorder="1"/>
    <xf numFmtId="44" fontId="16" fillId="0" borderId="23" xfId="2" applyFont="1" applyBorder="1"/>
    <xf numFmtId="44" fontId="16" fillId="0" borderId="8" xfId="2" applyFont="1" applyFill="1" applyBorder="1"/>
    <xf numFmtId="44" fontId="18" fillId="0" borderId="8" xfId="0" applyNumberFormat="1" applyFont="1" applyBorder="1"/>
    <xf numFmtId="0" fontId="13" fillId="0" borderId="8" xfId="0" applyFont="1" applyBorder="1"/>
    <xf numFmtId="49" fontId="15" fillId="0" borderId="3" xfId="0" applyNumberFormat="1" applyFont="1" applyFill="1" applyBorder="1"/>
    <xf numFmtId="44" fontId="17" fillId="0" borderId="3" xfId="0" applyNumberFormat="1" applyFont="1" applyFill="1" applyBorder="1"/>
    <xf numFmtId="9" fontId="15" fillId="0" borderId="3" xfId="3" applyNumberFormat="1" applyFont="1" applyFill="1" applyBorder="1"/>
    <xf numFmtId="164" fontId="15" fillId="0" borderId="3" xfId="3" applyNumberFormat="1" applyFont="1" applyFill="1" applyBorder="1"/>
    <xf numFmtId="44" fontId="15" fillId="0" borderId="3" xfId="2" applyFont="1" applyFill="1" applyBorder="1"/>
    <xf numFmtId="165" fontId="16" fillId="0" borderId="8" xfId="2" applyNumberFormat="1" applyFont="1" applyFill="1" applyBorder="1"/>
    <xf numFmtId="165" fontId="16" fillId="0" borderId="3" xfId="2" applyNumberFormat="1" applyFont="1" applyBorder="1"/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5">
    <cellStyle name="Currency" xfId="2" builtinId="4"/>
    <cellStyle name="Normal" xfId="0" builtinId="0"/>
    <cellStyle name="Normal 2" xfId="1" xr:uid="{00000000-0005-0000-0000-000002000000}"/>
    <cellStyle name="Normal 2 2" xfId="4" xr:uid="{20A74832-C93C-4EA8-A4C6-37F733CCA28D}"/>
    <cellStyle name="Percent" xfId="3" builtinId="5"/>
  </cellStyles>
  <dxfs count="0"/>
  <tableStyles count="0" defaultTableStyle="TableStyleMedium2" defaultPivotStyle="PivotStyleLight16"/>
  <colors>
    <mruColors>
      <color rgb="FFD8E4BC"/>
      <color rgb="FFC5D9F1"/>
      <color rgb="FFDCE6F1"/>
      <color rgb="FFF2DCDB"/>
      <color rgb="FF000000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298450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298450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33"/>
  <sheetViews>
    <sheetView tabSelected="1" view="pageLayout" topLeftCell="A91" zoomScaleNormal="100" workbookViewId="0">
      <selection activeCell="A112" sqref="A1:XFD1048576"/>
    </sheetView>
  </sheetViews>
  <sheetFormatPr defaultColWidth="8.81640625" defaultRowHeight="13" x14ac:dyDescent="0.3"/>
  <cols>
    <col min="1" max="1" width="1" style="72" customWidth="1"/>
    <col min="2" max="3" width="1.81640625" style="72" customWidth="1"/>
    <col min="4" max="4" width="1.1796875" style="72" customWidth="1"/>
    <col min="5" max="6" width="1.453125" style="72" customWidth="1"/>
    <col min="7" max="7" width="38.81640625" style="72" customWidth="1"/>
    <col min="8" max="8" width="12" style="72" hidden="1" customWidth="1"/>
    <col min="9" max="9" width="7.1796875" style="67" hidden="1" customWidth="1"/>
    <col min="10" max="10" width="14.1796875" style="72" hidden="1" customWidth="1"/>
    <col min="11" max="11" width="6.1796875" style="67" hidden="1" customWidth="1"/>
    <col min="12" max="12" width="11.453125" style="72" hidden="1" customWidth="1"/>
    <col min="13" max="13" width="6.453125" style="67" hidden="1" customWidth="1"/>
    <col min="14" max="14" width="12.1796875" style="72" hidden="1" customWidth="1"/>
    <col min="15" max="15" width="6.1796875" style="67" hidden="1" customWidth="1"/>
    <col min="16" max="16" width="12.1796875" style="72" hidden="1" customWidth="1"/>
    <col min="17" max="17" width="5.453125" style="67" hidden="1" customWidth="1"/>
    <col min="18" max="18" width="10" style="67" hidden="1" customWidth="1"/>
    <col min="19" max="19" width="13.453125" style="68" hidden="1" customWidth="1"/>
    <col min="20" max="20" width="14" style="186" customWidth="1"/>
    <col min="21" max="21" width="14" style="56" customWidth="1"/>
    <col min="22" max="16384" width="8.81640625" style="57"/>
  </cols>
  <sheetData>
    <row r="1" spans="1:21" s="46" customFormat="1" ht="25.5" x14ac:dyDescent="0.3">
      <c r="A1" s="42"/>
      <c r="B1" s="42"/>
      <c r="C1" s="42"/>
      <c r="D1" s="42"/>
      <c r="E1" s="42"/>
      <c r="F1" s="42"/>
      <c r="G1" s="42"/>
      <c r="H1" s="156" t="s">
        <v>106</v>
      </c>
      <c r="I1" s="43"/>
      <c r="J1" s="44"/>
      <c r="K1" s="44"/>
      <c r="L1" s="44"/>
      <c r="M1" s="44"/>
      <c r="N1" s="43"/>
      <c r="O1" s="43"/>
      <c r="P1" s="43"/>
      <c r="Q1" s="43"/>
      <c r="R1" s="43"/>
      <c r="S1" s="43"/>
      <c r="T1" s="177"/>
      <c r="U1" s="45"/>
    </row>
    <row r="2" spans="1:21" s="51" customFormat="1" x14ac:dyDescent="0.3">
      <c r="A2" s="47"/>
      <c r="B2" s="47" t="s">
        <v>0</v>
      </c>
      <c r="C2" s="47"/>
      <c r="D2" s="47"/>
      <c r="E2" s="47"/>
      <c r="F2" s="47"/>
      <c r="G2" s="47"/>
      <c r="H2" s="48" t="s">
        <v>107</v>
      </c>
      <c r="I2" s="49" t="s">
        <v>108</v>
      </c>
      <c r="J2" s="48" t="s">
        <v>109</v>
      </c>
      <c r="K2" s="49" t="s">
        <v>108</v>
      </c>
      <c r="L2" s="48" t="s">
        <v>114</v>
      </c>
      <c r="M2" s="49" t="s">
        <v>108</v>
      </c>
      <c r="N2" s="48" t="s">
        <v>110</v>
      </c>
      <c r="O2" s="49" t="s">
        <v>108</v>
      </c>
      <c r="P2" s="48" t="s">
        <v>111</v>
      </c>
      <c r="Q2" s="49" t="s">
        <v>108</v>
      </c>
      <c r="R2" s="49" t="s">
        <v>112</v>
      </c>
      <c r="S2" s="50" t="s">
        <v>113</v>
      </c>
      <c r="T2" s="178" t="s">
        <v>165</v>
      </c>
      <c r="U2" s="204" t="s">
        <v>153</v>
      </c>
    </row>
    <row r="3" spans="1:21" x14ac:dyDescent="0.3">
      <c r="A3" s="52"/>
      <c r="B3" s="52"/>
      <c r="C3" s="52"/>
      <c r="D3" s="37" t="s">
        <v>1</v>
      </c>
      <c r="E3" s="37"/>
      <c r="F3" s="37"/>
      <c r="G3" s="37"/>
      <c r="H3" s="37"/>
      <c r="I3" s="89"/>
      <c r="J3" s="54"/>
      <c r="K3" s="89"/>
      <c r="L3" s="54"/>
      <c r="M3" s="89"/>
      <c r="N3" s="54"/>
      <c r="O3" s="53"/>
      <c r="P3" s="54"/>
      <c r="Q3" s="53"/>
      <c r="R3" s="53"/>
      <c r="S3" s="55"/>
      <c r="T3" s="179"/>
      <c r="U3" s="99"/>
    </row>
    <row r="4" spans="1:21" x14ac:dyDescent="0.3">
      <c r="A4" s="52"/>
      <c r="B4" s="52"/>
      <c r="C4" s="52"/>
      <c r="D4" s="54"/>
      <c r="E4" s="54" t="s">
        <v>2</v>
      </c>
      <c r="F4" s="54"/>
      <c r="G4" s="54"/>
      <c r="H4" s="54"/>
      <c r="I4" s="89"/>
      <c r="J4" s="54"/>
      <c r="K4" s="89"/>
      <c r="L4" s="54"/>
      <c r="M4" s="89"/>
      <c r="N4" s="54"/>
      <c r="O4" s="53"/>
      <c r="P4" s="54"/>
      <c r="Q4" s="53"/>
      <c r="R4" s="53"/>
      <c r="S4" s="55"/>
      <c r="T4" s="179"/>
      <c r="U4" s="99"/>
    </row>
    <row r="5" spans="1:21" x14ac:dyDescent="0.3">
      <c r="A5" s="52"/>
      <c r="B5" s="52"/>
      <c r="C5" s="52"/>
      <c r="D5" s="54"/>
      <c r="E5" s="54" t="s">
        <v>3</v>
      </c>
      <c r="F5" s="54"/>
      <c r="G5" s="54"/>
      <c r="H5" s="58">
        <f>I5*T5</f>
        <v>16.8</v>
      </c>
      <c r="I5" s="89">
        <v>0.2</v>
      </c>
      <c r="J5" s="58">
        <f>K5*T5</f>
        <v>16.8</v>
      </c>
      <c r="K5" s="89">
        <v>0.2</v>
      </c>
      <c r="L5" s="58">
        <f>M5*T5</f>
        <v>16.8</v>
      </c>
      <c r="M5" s="89">
        <v>0.2</v>
      </c>
      <c r="N5" s="58">
        <f>O5*T5</f>
        <v>16.8</v>
      </c>
      <c r="O5" s="53">
        <v>0.2</v>
      </c>
      <c r="P5" s="58">
        <f>Q5*T5</f>
        <v>16.8</v>
      </c>
      <c r="Q5" s="89">
        <v>0.2</v>
      </c>
      <c r="R5" s="89">
        <f>Q5+O5+M5+K5+I5</f>
        <v>1</v>
      </c>
      <c r="S5" s="55">
        <f t="shared" ref="S5:S32" si="0">H5+J5+L5+N5+P5</f>
        <v>84</v>
      </c>
      <c r="T5" s="179">
        <v>84</v>
      </c>
      <c r="U5" s="99"/>
    </row>
    <row r="6" spans="1:21" x14ac:dyDescent="0.3">
      <c r="A6" s="52"/>
      <c r="B6" s="52"/>
      <c r="C6" s="52"/>
      <c r="D6" s="54"/>
      <c r="E6" s="210" t="s">
        <v>4</v>
      </c>
      <c r="F6" s="210"/>
      <c r="G6" s="210"/>
      <c r="H6" s="211">
        <f>I6*T6</f>
        <v>57058.8</v>
      </c>
      <c r="I6" s="212">
        <v>0.4</v>
      </c>
      <c r="J6" s="211">
        <f>K6*T6</f>
        <v>0</v>
      </c>
      <c r="K6" s="212">
        <v>0</v>
      </c>
      <c r="L6" s="211">
        <f>M6*T6</f>
        <v>57058.8</v>
      </c>
      <c r="M6" s="212">
        <v>0.4</v>
      </c>
      <c r="N6" s="211">
        <f>O6*T6</f>
        <v>26389.695</v>
      </c>
      <c r="O6" s="213">
        <v>0.185</v>
      </c>
      <c r="P6" s="211">
        <f>Q6*T6</f>
        <v>2139.7049999999999</v>
      </c>
      <c r="Q6" s="213">
        <v>1.4999999999999999E-2</v>
      </c>
      <c r="R6" s="212">
        <f t="shared" ref="R6:R50" si="1">Q6+O6+M6+K6+I6</f>
        <v>1</v>
      </c>
      <c r="S6" s="214">
        <f t="shared" si="0"/>
        <v>142647</v>
      </c>
      <c r="T6" s="215">
        <v>142647</v>
      </c>
      <c r="U6" s="99"/>
    </row>
    <row r="7" spans="1:21" x14ac:dyDescent="0.3">
      <c r="A7" s="52"/>
      <c r="B7" s="52"/>
      <c r="C7" s="52"/>
      <c r="D7" s="54"/>
      <c r="E7" s="59" t="s">
        <v>5</v>
      </c>
      <c r="F7" s="59"/>
      <c r="G7" s="59"/>
      <c r="H7" s="60"/>
      <c r="I7" s="90"/>
      <c r="J7" s="60"/>
      <c r="K7" s="90"/>
      <c r="L7" s="60"/>
      <c r="M7" s="90"/>
      <c r="N7" s="60"/>
      <c r="O7" s="61"/>
      <c r="P7" s="60"/>
      <c r="Q7" s="90"/>
      <c r="R7" s="90"/>
      <c r="S7" s="62"/>
      <c r="T7" s="180"/>
      <c r="U7" s="99"/>
    </row>
    <row r="8" spans="1:21" x14ac:dyDescent="0.3">
      <c r="A8" s="52"/>
      <c r="B8" s="52"/>
      <c r="C8" s="52"/>
      <c r="D8" s="54"/>
      <c r="E8" s="54"/>
      <c r="F8" s="59" t="s">
        <v>6</v>
      </c>
      <c r="G8" s="59"/>
      <c r="H8" s="60"/>
      <c r="I8" s="90"/>
      <c r="J8" s="60"/>
      <c r="K8" s="90"/>
      <c r="L8" s="60"/>
      <c r="M8" s="90"/>
      <c r="N8" s="60"/>
      <c r="O8" s="61"/>
      <c r="P8" s="60"/>
      <c r="Q8" s="90"/>
      <c r="R8" s="90"/>
      <c r="S8" s="62"/>
      <c r="T8" s="180"/>
      <c r="U8" s="99"/>
    </row>
    <row r="9" spans="1:21" x14ac:dyDescent="0.3">
      <c r="A9" s="52"/>
      <c r="B9" s="52"/>
      <c r="C9" s="52"/>
      <c r="D9" s="54"/>
      <c r="E9" s="54"/>
      <c r="F9" s="54"/>
      <c r="G9" s="54" t="s">
        <v>7</v>
      </c>
      <c r="H9" s="58">
        <f>I9*T9</f>
        <v>0</v>
      </c>
      <c r="I9" s="89">
        <v>1</v>
      </c>
      <c r="J9" s="58">
        <f>K9*T9</f>
        <v>0</v>
      </c>
      <c r="K9" s="89"/>
      <c r="L9" s="58">
        <f>M9*T9</f>
        <v>0</v>
      </c>
      <c r="M9" s="89"/>
      <c r="N9" s="58">
        <f>O9*T9</f>
        <v>0</v>
      </c>
      <c r="O9" s="53"/>
      <c r="P9" s="58">
        <f>Q9*T9</f>
        <v>0</v>
      </c>
      <c r="Q9" s="89"/>
      <c r="R9" s="89">
        <f t="shared" si="1"/>
        <v>1</v>
      </c>
      <c r="S9" s="55">
        <f t="shared" si="0"/>
        <v>0</v>
      </c>
      <c r="T9" s="179">
        <v>0</v>
      </c>
      <c r="U9" s="99"/>
    </row>
    <row r="10" spans="1:21" x14ac:dyDescent="0.3">
      <c r="A10" s="52"/>
      <c r="B10" s="52"/>
      <c r="C10" s="52"/>
      <c r="D10" s="54"/>
      <c r="E10" s="54"/>
      <c r="F10" s="54"/>
      <c r="G10" s="54" t="s">
        <v>8</v>
      </c>
      <c r="H10" s="58"/>
      <c r="I10" s="89"/>
      <c r="J10" s="58"/>
      <c r="K10" s="89"/>
      <c r="L10" s="58"/>
      <c r="M10" s="89"/>
      <c r="N10" s="58"/>
      <c r="O10" s="53"/>
      <c r="P10" s="58"/>
      <c r="Q10" s="89"/>
      <c r="R10" s="89"/>
      <c r="S10" s="55"/>
      <c r="T10" s="179"/>
      <c r="U10" s="99"/>
    </row>
    <row r="11" spans="1:21" x14ac:dyDescent="0.3">
      <c r="A11" s="52"/>
      <c r="B11" s="52"/>
      <c r="C11" s="52"/>
      <c r="D11" s="54"/>
      <c r="E11" s="54"/>
      <c r="F11" s="54"/>
      <c r="G11" s="54" t="s">
        <v>9</v>
      </c>
      <c r="H11" s="58">
        <f>I11*T11</f>
        <v>0</v>
      </c>
      <c r="I11" s="89">
        <v>1</v>
      </c>
      <c r="J11" s="58">
        <f>K11*T11</f>
        <v>0</v>
      </c>
      <c r="K11" s="89"/>
      <c r="L11" s="58">
        <f>M11*T11</f>
        <v>0</v>
      </c>
      <c r="M11" s="89"/>
      <c r="N11" s="58">
        <f>O11*T11</f>
        <v>0</v>
      </c>
      <c r="O11" s="53"/>
      <c r="P11" s="58">
        <f>Q11*T11</f>
        <v>0</v>
      </c>
      <c r="Q11" s="89"/>
      <c r="R11" s="89">
        <f t="shared" si="1"/>
        <v>1</v>
      </c>
      <c r="S11" s="55">
        <f t="shared" si="0"/>
        <v>0</v>
      </c>
      <c r="T11" s="179">
        <v>0</v>
      </c>
      <c r="U11" s="99"/>
    </row>
    <row r="12" spans="1:21" x14ac:dyDescent="0.3">
      <c r="A12" s="52"/>
      <c r="B12" s="52"/>
      <c r="C12" s="52"/>
      <c r="D12" s="54"/>
      <c r="E12" s="54"/>
      <c r="F12" s="54"/>
      <c r="G12" s="54" t="s">
        <v>10</v>
      </c>
      <c r="H12" s="58">
        <f>I12*T12</f>
        <v>0</v>
      </c>
      <c r="I12" s="89">
        <v>1</v>
      </c>
      <c r="J12" s="58">
        <f>K12*T12</f>
        <v>0</v>
      </c>
      <c r="K12" s="89"/>
      <c r="L12" s="58">
        <f>M12*T12</f>
        <v>0</v>
      </c>
      <c r="M12" s="89"/>
      <c r="N12" s="58">
        <f>O12*T12</f>
        <v>0</v>
      </c>
      <c r="O12" s="53"/>
      <c r="P12" s="58">
        <f>Q12*T12</f>
        <v>0</v>
      </c>
      <c r="Q12" s="89"/>
      <c r="R12" s="89">
        <f t="shared" si="1"/>
        <v>1</v>
      </c>
      <c r="S12" s="55">
        <f t="shared" si="0"/>
        <v>0</v>
      </c>
      <c r="T12" s="179"/>
      <c r="U12" s="99"/>
    </row>
    <row r="13" spans="1:21" x14ac:dyDescent="0.3">
      <c r="A13" s="52"/>
      <c r="B13" s="52"/>
      <c r="C13" s="52"/>
      <c r="D13" s="54"/>
      <c r="E13" s="54"/>
      <c r="F13" s="59" t="s">
        <v>11</v>
      </c>
      <c r="G13" s="59"/>
      <c r="H13" s="60"/>
      <c r="I13" s="90"/>
      <c r="J13" s="60"/>
      <c r="K13" s="90"/>
      <c r="L13" s="60"/>
      <c r="M13" s="90"/>
      <c r="N13" s="60"/>
      <c r="O13" s="61"/>
      <c r="P13" s="60"/>
      <c r="Q13" s="90"/>
      <c r="R13" s="90"/>
      <c r="S13" s="62"/>
      <c r="T13" s="180"/>
      <c r="U13" s="99"/>
    </row>
    <row r="14" spans="1:21" x14ac:dyDescent="0.3">
      <c r="A14" s="52"/>
      <c r="B14" s="52"/>
      <c r="C14" s="52"/>
      <c r="D14" s="54"/>
      <c r="E14" s="54"/>
      <c r="F14" s="54" t="s">
        <v>12</v>
      </c>
      <c r="G14" s="59"/>
      <c r="H14" s="60"/>
      <c r="I14" s="90"/>
      <c r="J14" s="60"/>
      <c r="K14" s="90"/>
      <c r="L14" s="60"/>
      <c r="M14" s="90"/>
      <c r="N14" s="60"/>
      <c r="O14" s="61"/>
      <c r="P14" s="60"/>
      <c r="Q14" s="90"/>
      <c r="R14" s="90"/>
      <c r="S14" s="62"/>
      <c r="T14" s="180"/>
      <c r="U14" s="99"/>
    </row>
    <row r="15" spans="1:21" x14ac:dyDescent="0.3">
      <c r="A15" s="52"/>
      <c r="B15" s="52"/>
      <c r="C15" s="52"/>
      <c r="D15" s="54"/>
      <c r="E15" s="54"/>
      <c r="F15" s="54"/>
      <c r="G15" s="54" t="s">
        <v>13</v>
      </c>
      <c r="H15" s="58">
        <f>I15*T15</f>
        <v>2000</v>
      </c>
      <c r="I15" s="89">
        <v>1</v>
      </c>
      <c r="J15" s="58">
        <f>K15*T15</f>
        <v>0</v>
      </c>
      <c r="K15" s="89"/>
      <c r="L15" s="58">
        <f>M15*T15</f>
        <v>0</v>
      </c>
      <c r="M15" s="89"/>
      <c r="N15" s="58">
        <f>O15*T15</f>
        <v>0</v>
      </c>
      <c r="O15" s="53"/>
      <c r="P15" s="58">
        <f>Q15*T15</f>
        <v>0</v>
      </c>
      <c r="Q15" s="89"/>
      <c r="R15" s="89">
        <f t="shared" si="1"/>
        <v>1</v>
      </c>
      <c r="S15" s="55">
        <f t="shared" si="0"/>
        <v>2000</v>
      </c>
      <c r="T15" s="179">
        <v>2000</v>
      </c>
      <c r="U15" s="99"/>
    </row>
    <row r="16" spans="1:21" x14ac:dyDescent="0.3">
      <c r="A16" s="52"/>
      <c r="B16" s="52"/>
      <c r="C16" s="52"/>
      <c r="D16" s="54"/>
      <c r="E16" s="54"/>
      <c r="F16" s="54"/>
      <c r="G16" s="54" t="s">
        <v>14</v>
      </c>
      <c r="H16" s="58">
        <f>I16*T16</f>
        <v>4000</v>
      </c>
      <c r="I16" s="89">
        <v>1</v>
      </c>
      <c r="J16" s="58">
        <f>K16*T16</f>
        <v>0</v>
      </c>
      <c r="K16" s="89"/>
      <c r="L16" s="58">
        <f>M16*T16</f>
        <v>0</v>
      </c>
      <c r="M16" s="89"/>
      <c r="N16" s="58">
        <f>O16*T16</f>
        <v>0</v>
      </c>
      <c r="O16" s="53"/>
      <c r="P16" s="58">
        <f>Q16*T16</f>
        <v>0</v>
      </c>
      <c r="Q16" s="89"/>
      <c r="R16" s="89">
        <f t="shared" si="1"/>
        <v>1</v>
      </c>
      <c r="S16" s="55">
        <f t="shared" si="0"/>
        <v>4000</v>
      </c>
      <c r="T16" s="179">
        <v>4000</v>
      </c>
      <c r="U16" s="99"/>
    </row>
    <row r="17" spans="1:21" x14ac:dyDescent="0.3">
      <c r="A17" s="52"/>
      <c r="B17" s="52"/>
      <c r="C17" s="52"/>
      <c r="D17" s="54"/>
      <c r="E17" s="54"/>
      <c r="F17" s="54"/>
      <c r="G17" s="54" t="s">
        <v>15</v>
      </c>
      <c r="H17" s="58">
        <f>I17*T17</f>
        <v>14000</v>
      </c>
      <c r="I17" s="89">
        <v>1</v>
      </c>
      <c r="J17" s="58">
        <f>K17*T17</f>
        <v>0</v>
      </c>
      <c r="K17" s="89"/>
      <c r="L17" s="58">
        <f>M17*T17</f>
        <v>0</v>
      </c>
      <c r="M17" s="89"/>
      <c r="N17" s="58">
        <f>O17*T17</f>
        <v>0</v>
      </c>
      <c r="O17" s="53"/>
      <c r="P17" s="58">
        <f>Q17*T17</f>
        <v>0</v>
      </c>
      <c r="Q17" s="89"/>
      <c r="R17" s="89">
        <f t="shared" si="1"/>
        <v>1</v>
      </c>
      <c r="S17" s="55">
        <f t="shared" si="0"/>
        <v>14000</v>
      </c>
      <c r="T17" s="179">
        <v>14000</v>
      </c>
      <c r="U17" s="99"/>
    </row>
    <row r="18" spans="1:21" x14ac:dyDescent="0.3">
      <c r="A18" s="52"/>
      <c r="B18" s="52"/>
      <c r="C18" s="52"/>
      <c r="D18" s="54"/>
      <c r="E18" s="54"/>
      <c r="F18" s="54"/>
      <c r="G18" s="54" t="s">
        <v>16</v>
      </c>
      <c r="H18" s="58">
        <f>I18*T18</f>
        <v>2000</v>
      </c>
      <c r="I18" s="89">
        <v>1</v>
      </c>
      <c r="J18" s="58">
        <f>K18*T18</f>
        <v>0</v>
      </c>
      <c r="K18" s="89"/>
      <c r="L18" s="58">
        <f>M18*T18</f>
        <v>0</v>
      </c>
      <c r="M18" s="89"/>
      <c r="N18" s="58">
        <f>O18*T18</f>
        <v>0</v>
      </c>
      <c r="O18" s="53"/>
      <c r="P18" s="58">
        <f>Q18*T18</f>
        <v>0</v>
      </c>
      <c r="Q18" s="89"/>
      <c r="R18" s="89">
        <f t="shared" si="1"/>
        <v>1</v>
      </c>
      <c r="S18" s="55">
        <f t="shared" si="0"/>
        <v>2000</v>
      </c>
      <c r="T18" s="179">
        <v>2000</v>
      </c>
      <c r="U18" s="99"/>
    </row>
    <row r="19" spans="1:21" ht="13.5" thickBot="1" x14ac:dyDescent="0.35">
      <c r="A19" s="52"/>
      <c r="B19" s="52"/>
      <c r="C19" s="52"/>
      <c r="D19" s="54"/>
      <c r="E19" s="105"/>
      <c r="F19" s="106" t="s">
        <v>17</v>
      </c>
      <c r="G19" s="107"/>
      <c r="H19" s="108"/>
      <c r="I19" s="109"/>
      <c r="J19" s="108"/>
      <c r="K19" s="109"/>
      <c r="L19" s="108"/>
      <c r="M19" s="109"/>
      <c r="N19" s="108"/>
      <c r="O19" s="110"/>
      <c r="P19" s="108"/>
      <c r="Q19" s="109"/>
      <c r="R19" s="109"/>
      <c r="S19" s="111"/>
      <c r="T19" s="181"/>
      <c r="U19" s="129"/>
    </row>
    <row r="20" spans="1:21" ht="13.5" thickBot="1" x14ac:dyDescent="0.35">
      <c r="A20" s="52"/>
      <c r="B20" s="52"/>
      <c r="C20" s="52"/>
      <c r="D20" s="104"/>
      <c r="E20" s="118" t="s">
        <v>18</v>
      </c>
      <c r="F20" s="119"/>
      <c r="G20" s="119"/>
      <c r="H20" s="120"/>
      <c r="I20" s="121"/>
      <c r="J20" s="120"/>
      <c r="K20" s="121"/>
      <c r="L20" s="120"/>
      <c r="M20" s="121"/>
      <c r="N20" s="120"/>
      <c r="O20" s="122"/>
      <c r="P20" s="120"/>
      <c r="Q20" s="121"/>
      <c r="R20" s="121"/>
      <c r="S20" s="123"/>
      <c r="T20" s="182"/>
      <c r="U20" s="124">
        <f>SUM(T9:T18)</f>
        <v>22000</v>
      </c>
    </row>
    <row r="21" spans="1:21" x14ac:dyDescent="0.3">
      <c r="A21" s="52"/>
      <c r="B21" s="52"/>
      <c r="C21" s="52"/>
      <c r="D21" s="54"/>
      <c r="E21" s="112" t="s">
        <v>19</v>
      </c>
      <c r="F21" s="112"/>
      <c r="G21" s="113"/>
      <c r="H21" s="114"/>
      <c r="I21" s="115"/>
      <c r="J21" s="114"/>
      <c r="K21" s="115"/>
      <c r="L21" s="114"/>
      <c r="M21" s="115"/>
      <c r="N21" s="114"/>
      <c r="O21" s="116"/>
      <c r="P21" s="114"/>
      <c r="Q21" s="115"/>
      <c r="R21" s="115"/>
      <c r="S21" s="117"/>
      <c r="T21" s="183"/>
      <c r="U21" s="103"/>
    </row>
    <row r="22" spans="1:21" x14ac:dyDescent="0.3">
      <c r="A22" s="52"/>
      <c r="B22" s="52"/>
      <c r="C22" s="52"/>
      <c r="D22" s="54"/>
      <c r="E22" s="54"/>
      <c r="F22" s="54" t="s">
        <v>20</v>
      </c>
      <c r="G22" s="54"/>
      <c r="H22" s="58">
        <f>I22*T22</f>
        <v>0</v>
      </c>
      <c r="I22" s="89">
        <v>0.93</v>
      </c>
      <c r="J22" s="58">
        <f>K22*T22</f>
        <v>0</v>
      </c>
      <c r="K22" s="89"/>
      <c r="L22" s="58">
        <f>M22*T22</f>
        <v>0</v>
      </c>
      <c r="M22" s="89">
        <v>0</v>
      </c>
      <c r="N22" s="58">
        <f>O22*T22</f>
        <v>0</v>
      </c>
      <c r="O22" s="53">
        <v>7.0000000000000007E-2</v>
      </c>
      <c r="P22" s="58">
        <f>Q22*T22</f>
        <v>0</v>
      </c>
      <c r="Q22" s="89"/>
      <c r="R22" s="89">
        <f t="shared" si="1"/>
        <v>1</v>
      </c>
      <c r="S22" s="55">
        <f t="shared" si="0"/>
        <v>0</v>
      </c>
      <c r="T22" s="179">
        <v>0</v>
      </c>
      <c r="U22" s="99"/>
    </row>
    <row r="23" spans="1:21" ht="12" customHeight="1" x14ac:dyDescent="0.3">
      <c r="A23" s="52"/>
      <c r="B23" s="52"/>
      <c r="C23" s="52"/>
      <c r="D23" s="54"/>
      <c r="E23" s="54"/>
      <c r="F23" s="54" t="s">
        <v>21</v>
      </c>
      <c r="G23" s="54"/>
      <c r="H23" s="58">
        <f>I23*T23</f>
        <v>9000</v>
      </c>
      <c r="I23" s="89">
        <v>0.3</v>
      </c>
      <c r="J23" s="58">
        <f>K23*T23</f>
        <v>7500</v>
      </c>
      <c r="K23" s="89">
        <v>0.25</v>
      </c>
      <c r="L23" s="58">
        <f>M23*T23</f>
        <v>3000</v>
      </c>
      <c r="M23" s="89">
        <v>0.1</v>
      </c>
      <c r="N23" s="58">
        <f>O23*T23</f>
        <v>10500</v>
      </c>
      <c r="O23" s="53">
        <v>0.35</v>
      </c>
      <c r="P23" s="58">
        <f>Q23*T23</f>
        <v>0</v>
      </c>
      <c r="Q23" s="89"/>
      <c r="R23" s="89">
        <f t="shared" si="1"/>
        <v>1</v>
      </c>
      <c r="S23" s="55">
        <f t="shared" si="0"/>
        <v>30000</v>
      </c>
      <c r="T23" s="179">
        <v>30000</v>
      </c>
      <c r="U23" s="99"/>
    </row>
    <row r="24" spans="1:21" x14ac:dyDescent="0.3">
      <c r="A24" s="52"/>
      <c r="B24" s="52"/>
      <c r="C24" s="52"/>
      <c r="D24" s="54"/>
      <c r="E24" s="54"/>
      <c r="F24" s="54" t="s">
        <v>22</v>
      </c>
      <c r="G24" s="54"/>
      <c r="H24" s="58">
        <f>I24*T24</f>
        <v>0</v>
      </c>
      <c r="I24" s="89">
        <v>0.75</v>
      </c>
      <c r="J24" s="58">
        <f>K24*T24</f>
        <v>0</v>
      </c>
      <c r="K24" s="89"/>
      <c r="L24" s="58">
        <f>M24*T24</f>
        <v>0</v>
      </c>
      <c r="M24" s="89">
        <v>0.25</v>
      </c>
      <c r="N24" s="58">
        <f>O24*T24</f>
        <v>0</v>
      </c>
      <c r="O24" s="53"/>
      <c r="P24" s="58">
        <f>Q24*T24</f>
        <v>0</v>
      </c>
      <c r="Q24" s="89"/>
      <c r="R24" s="89">
        <f t="shared" si="1"/>
        <v>1</v>
      </c>
      <c r="S24" s="55">
        <f t="shared" si="0"/>
        <v>0</v>
      </c>
      <c r="T24" s="179">
        <v>0</v>
      </c>
      <c r="U24" s="99"/>
    </row>
    <row r="25" spans="1:21" x14ac:dyDescent="0.3">
      <c r="A25" s="52"/>
      <c r="B25" s="52"/>
      <c r="C25" s="52"/>
      <c r="D25" s="54"/>
      <c r="E25" s="105"/>
      <c r="F25" s="105" t="s">
        <v>161</v>
      </c>
      <c r="G25" s="105"/>
      <c r="H25" s="125"/>
      <c r="I25" s="126"/>
      <c r="J25" s="125"/>
      <c r="K25" s="126"/>
      <c r="L25" s="125"/>
      <c r="M25" s="126"/>
      <c r="N25" s="125"/>
      <c r="O25" s="127"/>
      <c r="P25" s="125"/>
      <c r="Q25" s="126"/>
      <c r="R25" s="126"/>
      <c r="S25" s="128"/>
      <c r="T25" s="184"/>
      <c r="U25" s="129"/>
    </row>
    <row r="26" spans="1:21" ht="13.5" thickBot="1" x14ac:dyDescent="0.35">
      <c r="A26" s="52"/>
      <c r="B26" s="52"/>
      <c r="C26" s="52"/>
      <c r="D26" s="54"/>
      <c r="E26" s="105"/>
      <c r="F26" s="105" t="s">
        <v>23</v>
      </c>
      <c r="G26" s="105"/>
      <c r="H26" s="125">
        <f>I26*T26</f>
        <v>0</v>
      </c>
      <c r="I26" s="126"/>
      <c r="J26" s="125">
        <f>K26*T26</f>
        <v>0</v>
      </c>
      <c r="K26" s="126"/>
      <c r="L26" s="125">
        <f>M26*T26</f>
        <v>0</v>
      </c>
      <c r="M26" s="126"/>
      <c r="N26" s="125">
        <f>O26*T26</f>
        <v>0</v>
      </c>
      <c r="O26" s="127"/>
      <c r="P26" s="125">
        <f>Q26*T26</f>
        <v>0</v>
      </c>
      <c r="Q26" s="126">
        <v>1</v>
      </c>
      <c r="R26" s="126">
        <f t="shared" si="1"/>
        <v>1</v>
      </c>
      <c r="S26" s="128">
        <f t="shared" si="0"/>
        <v>0</v>
      </c>
      <c r="T26" s="184">
        <v>0</v>
      </c>
      <c r="U26" s="129"/>
    </row>
    <row r="27" spans="1:21" ht="13.5" thickBot="1" x14ac:dyDescent="0.35">
      <c r="A27" s="52"/>
      <c r="B27" s="52"/>
      <c r="C27" s="52"/>
      <c r="D27" s="104"/>
      <c r="E27" s="118" t="s">
        <v>24</v>
      </c>
      <c r="F27" s="119"/>
      <c r="G27" s="119"/>
      <c r="H27" s="120"/>
      <c r="I27" s="121"/>
      <c r="J27" s="120"/>
      <c r="K27" s="121"/>
      <c r="L27" s="120"/>
      <c r="M27" s="121"/>
      <c r="N27" s="120"/>
      <c r="O27" s="122"/>
      <c r="P27" s="120"/>
      <c r="Q27" s="121"/>
      <c r="R27" s="121"/>
      <c r="S27" s="123"/>
      <c r="T27" s="182"/>
      <c r="U27" s="124">
        <f>SUM(T22:T26)</f>
        <v>30000</v>
      </c>
    </row>
    <row r="28" spans="1:21" s="166" customFormat="1" x14ac:dyDescent="0.3">
      <c r="A28" s="158"/>
      <c r="B28" s="158"/>
      <c r="C28" s="158"/>
      <c r="D28" s="159"/>
      <c r="E28" s="160"/>
      <c r="F28" s="161" t="s">
        <v>166</v>
      </c>
      <c r="G28" s="161"/>
      <c r="H28" s="162"/>
      <c r="I28" s="163"/>
      <c r="J28" s="162"/>
      <c r="K28" s="163"/>
      <c r="L28" s="162"/>
      <c r="M28" s="163"/>
      <c r="N28" s="162"/>
      <c r="O28" s="203"/>
      <c r="P28" s="162"/>
      <c r="Q28" s="163"/>
      <c r="R28" s="163"/>
      <c r="S28" s="164"/>
      <c r="T28" s="191"/>
      <c r="U28" s="165"/>
    </row>
    <row r="29" spans="1:21" x14ac:dyDescent="0.3">
      <c r="A29" s="52"/>
      <c r="B29" s="52"/>
      <c r="C29" s="52"/>
      <c r="D29" s="54"/>
      <c r="E29" s="113" t="s">
        <v>25</v>
      </c>
      <c r="F29" s="113"/>
      <c r="G29" s="113"/>
      <c r="H29" s="114"/>
      <c r="I29" s="115"/>
      <c r="J29" s="114"/>
      <c r="K29" s="115"/>
      <c r="L29" s="114"/>
      <c r="M29" s="115"/>
      <c r="N29" s="114"/>
      <c r="O29" s="116"/>
      <c r="P29" s="114"/>
      <c r="Q29" s="115"/>
      <c r="R29" s="115"/>
      <c r="S29" s="117"/>
      <c r="T29" s="183"/>
      <c r="U29" s="103"/>
    </row>
    <row r="30" spans="1:21" x14ac:dyDescent="0.3">
      <c r="A30" s="52"/>
      <c r="B30" s="52"/>
      <c r="C30" s="52"/>
      <c r="D30" s="54"/>
      <c r="E30" s="54"/>
      <c r="F30" s="54" t="s">
        <v>26</v>
      </c>
      <c r="G30" s="54"/>
      <c r="H30" s="58">
        <f>I30*T30</f>
        <v>0</v>
      </c>
      <c r="I30" s="89"/>
      <c r="J30" s="58">
        <f>K30*T30</f>
        <v>900000</v>
      </c>
      <c r="K30" s="89">
        <v>1</v>
      </c>
      <c r="L30" s="58">
        <f>M30*T30</f>
        <v>0</v>
      </c>
      <c r="M30" s="89"/>
      <c r="N30" s="58">
        <f>O30*T30</f>
        <v>0</v>
      </c>
      <c r="O30" s="53"/>
      <c r="P30" s="58">
        <f>Q30*T30</f>
        <v>0</v>
      </c>
      <c r="Q30" s="89"/>
      <c r="R30" s="89">
        <f t="shared" si="1"/>
        <v>1</v>
      </c>
      <c r="S30" s="55">
        <f t="shared" si="0"/>
        <v>900000</v>
      </c>
      <c r="T30" s="179">
        <v>900000</v>
      </c>
      <c r="U30" s="99"/>
    </row>
    <row r="31" spans="1:21" x14ac:dyDescent="0.3">
      <c r="A31" s="52"/>
      <c r="B31" s="52"/>
      <c r="C31" s="52"/>
      <c r="D31" s="54"/>
      <c r="E31" s="54"/>
      <c r="F31" s="54" t="s">
        <v>116</v>
      </c>
      <c r="G31" s="54"/>
      <c r="H31" s="58">
        <f>I31*T31</f>
        <v>0</v>
      </c>
      <c r="I31" s="89"/>
      <c r="J31" s="58">
        <f>K31*T31</f>
        <v>0</v>
      </c>
      <c r="K31" s="89">
        <v>1</v>
      </c>
      <c r="L31" s="58">
        <f>M31*T31</f>
        <v>0</v>
      </c>
      <c r="M31" s="89"/>
      <c r="N31" s="58">
        <f>O31*T31</f>
        <v>0</v>
      </c>
      <c r="O31" s="53"/>
      <c r="P31" s="58">
        <f>Q31*T31</f>
        <v>0</v>
      </c>
      <c r="Q31" s="89"/>
      <c r="R31" s="89">
        <f t="shared" si="1"/>
        <v>1</v>
      </c>
      <c r="S31" s="55">
        <f t="shared" si="0"/>
        <v>0</v>
      </c>
      <c r="T31" s="179">
        <v>0</v>
      </c>
      <c r="U31" s="99"/>
    </row>
    <row r="32" spans="1:21" ht="13.5" thickBot="1" x14ac:dyDescent="0.35">
      <c r="A32" s="52"/>
      <c r="B32" s="52"/>
      <c r="C32" s="52"/>
      <c r="D32" s="54"/>
      <c r="E32" s="105"/>
      <c r="F32" s="105" t="s">
        <v>27</v>
      </c>
      <c r="G32" s="105"/>
      <c r="H32" s="125">
        <f>I32*T32</f>
        <v>0</v>
      </c>
      <c r="I32" s="126"/>
      <c r="J32" s="125">
        <f>K32*T32</f>
        <v>0</v>
      </c>
      <c r="K32" s="126">
        <v>1</v>
      </c>
      <c r="L32" s="125">
        <f>M32*T32</f>
        <v>0</v>
      </c>
      <c r="M32" s="126"/>
      <c r="N32" s="125">
        <f>O32*T32</f>
        <v>0</v>
      </c>
      <c r="O32" s="127"/>
      <c r="P32" s="125">
        <f>Q32*T32</f>
        <v>0</v>
      </c>
      <c r="Q32" s="126"/>
      <c r="R32" s="126">
        <f t="shared" si="1"/>
        <v>1</v>
      </c>
      <c r="S32" s="128">
        <f t="shared" si="0"/>
        <v>0</v>
      </c>
      <c r="T32" s="184">
        <v>0</v>
      </c>
      <c r="U32" s="129"/>
    </row>
    <row r="33" spans="1:21" ht="13.5" thickBot="1" x14ac:dyDescent="0.35">
      <c r="A33" s="52"/>
      <c r="B33" s="52"/>
      <c r="C33" s="52"/>
      <c r="D33" s="104"/>
      <c r="E33" s="118" t="s">
        <v>28</v>
      </c>
      <c r="F33" s="119"/>
      <c r="G33" s="119"/>
      <c r="H33" s="120"/>
      <c r="I33" s="121"/>
      <c r="J33" s="120"/>
      <c r="K33" s="121"/>
      <c r="L33" s="120"/>
      <c r="M33" s="121"/>
      <c r="N33" s="120"/>
      <c r="O33" s="122"/>
      <c r="P33" s="120"/>
      <c r="Q33" s="121"/>
      <c r="R33" s="121"/>
      <c r="S33" s="123"/>
      <c r="T33" s="182"/>
      <c r="U33" s="124">
        <f>SUM(T30:T33)</f>
        <v>900000</v>
      </c>
    </row>
    <row r="34" spans="1:21" x14ac:dyDescent="0.3">
      <c r="A34" s="52"/>
      <c r="B34" s="52"/>
      <c r="C34" s="52"/>
      <c r="D34" s="54"/>
      <c r="E34" s="113" t="s">
        <v>29</v>
      </c>
      <c r="F34" s="113"/>
      <c r="G34" s="113"/>
      <c r="H34" s="114"/>
      <c r="I34" s="115"/>
      <c r="J34" s="114"/>
      <c r="K34" s="115"/>
      <c r="L34" s="114"/>
      <c r="M34" s="115"/>
      <c r="N34" s="114"/>
      <c r="O34" s="116"/>
      <c r="P34" s="114"/>
      <c r="Q34" s="115"/>
      <c r="R34" s="115"/>
      <c r="S34" s="117"/>
      <c r="T34" s="183"/>
      <c r="U34" s="103"/>
    </row>
    <row r="35" spans="1:21" ht="13.5" thickBot="1" x14ac:dyDescent="0.35">
      <c r="A35" s="52"/>
      <c r="B35" s="52"/>
      <c r="C35" s="52"/>
      <c r="D35" s="54"/>
      <c r="E35" s="54"/>
      <c r="F35" s="54"/>
      <c r="G35" s="54" t="s">
        <v>157</v>
      </c>
      <c r="H35" s="58"/>
      <c r="I35" s="89"/>
      <c r="J35" s="58"/>
      <c r="K35" s="89"/>
      <c r="L35" s="58"/>
      <c r="M35" s="89"/>
      <c r="N35" s="58">
        <f>O35*T35</f>
        <v>223250</v>
      </c>
      <c r="O35" s="89">
        <v>1</v>
      </c>
      <c r="P35" s="58"/>
      <c r="Q35" s="89"/>
      <c r="R35" s="89"/>
      <c r="S35" s="55">
        <f t="shared" ref="S35" si="2">H35+J35+L35+N35+P35</f>
        <v>223250</v>
      </c>
      <c r="T35" s="179">
        <v>223250</v>
      </c>
      <c r="U35" s="99"/>
    </row>
    <row r="36" spans="1:21" ht="13.5" thickBot="1" x14ac:dyDescent="0.35">
      <c r="A36" s="52"/>
      <c r="B36" s="52"/>
      <c r="C36" s="52"/>
      <c r="D36" s="104"/>
      <c r="E36" s="118" t="s">
        <v>30</v>
      </c>
      <c r="F36" s="119"/>
      <c r="G36" s="119"/>
      <c r="H36" s="120"/>
      <c r="I36" s="121"/>
      <c r="J36" s="120"/>
      <c r="K36" s="121"/>
      <c r="L36" s="120"/>
      <c r="M36" s="121"/>
      <c r="N36" s="120"/>
      <c r="O36" s="121"/>
      <c r="P36" s="120"/>
      <c r="Q36" s="121"/>
      <c r="R36" s="121"/>
      <c r="S36" s="123"/>
      <c r="T36" s="182"/>
      <c r="U36" s="124">
        <f>SUM(T35:T35)</f>
        <v>223250</v>
      </c>
    </row>
    <row r="37" spans="1:21" s="41" customFormat="1" ht="13.5" thickBot="1" x14ac:dyDescent="0.35">
      <c r="A37" s="63"/>
      <c r="B37" s="63"/>
      <c r="C37" s="63"/>
      <c r="D37" s="64" t="s">
        <v>31</v>
      </c>
      <c r="E37" s="130"/>
      <c r="F37" s="130"/>
      <c r="G37" s="130"/>
      <c r="H37" s="131">
        <f>SUM(H3:H36)</f>
        <v>88075.6</v>
      </c>
      <c r="I37" s="132"/>
      <c r="J37" s="131">
        <f>SUM(J3:J36)</f>
        <v>907516.8</v>
      </c>
      <c r="K37" s="132"/>
      <c r="L37" s="131">
        <f>SUM(L3:L36)</f>
        <v>60075.600000000006</v>
      </c>
      <c r="M37" s="132"/>
      <c r="N37" s="131">
        <f>SUM(N3:N36)</f>
        <v>260156.495</v>
      </c>
      <c r="O37" s="132"/>
      <c r="P37" s="131">
        <f>SUM(P3:P36)</f>
        <v>2156.5050000000001</v>
      </c>
      <c r="Q37" s="132"/>
      <c r="R37" s="132"/>
      <c r="S37" s="133">
        <f>H37+J37+L37+N37+P37</f>
        <v>1317981</v>
      </c>
      <c r="T37" s="185">
        <f>SUM(T5:T35)</f>
        <v>1317981</v>
      </c>
      <c r="U37" s="205"/>
    </row>
    <row r="38" spans="1:21" ht="13.5" thickTop="1" x14ac:dyDescent="0.3">
      <c r="A38" s="52"/>
      <c r="B38" s="52"/>
      <c r="C38" s="63"/>
      <c r="D38" s="52"/>
      <c r="E38" s="52"/>
      <c r="F38" s="52"/>
      <c r="G38" s="52"/>
      <c r="H38" s="66"/>
      <c r="I38" s="92"/>
      <c r="J38" s="66"/>
      <c r="K38" s="92"/>
      <c r="L38" s="66"/>
      <c r="M38" s="92"/>
      <c r="N38" s="66"/>
      <c r="O38" s="92"/>
      <c r="P38" s="66"/>
      <c r="Q38" s="92"/>
      <c r="R38" s="92"/>
      <c r="U38" s="99"/>
    </row>
    <row r="39" spans="1:21" x14ac:dyDescent="0.3">
      <c r="A39" s="52"/>
      <c r="B39" s="52"/>
      <c r="C39" s="52"/>
      <c r="D39" s="37" t="s">
        <v>32</v>
      </c>
      <c r="E39" s="37"/>
      <c r="F39" s="37"/>
      <c r="G39" s="37"/>
      <c r="H39" s="38"/>
      <c r="I39" s="93"/>
      <c r="J39" s="38"/>
      <c r="K39" s="93"/>
      <c r="L39" s="38"/>
      <c r="M39" s="93"/>
      <c r="N39" s="38"/>
      <c r="O39" s="93"/>
      <c r="P39" s="38"/>
      <c r="Q39" s="93"/>
      <c r="R39" s="93"/>
      <c r="S39" s="40"/>
      <c r="T39" s="187"/>
      <c r="U39" s="101"/>
    </row>
    <row r="40" spans="1:21" x14ac:dyDescent="0.3">
      <c r="A40" s="52"/>
      <c r="B40" s="52"/>
      <c r="C40" s="52"/>
      <c r="D40" s="54"/>
      <c r="E40" s="69" t="s">
        <v>33</v>
      </c>
      <c r="F40" s="69"/>
      <c r="G40" s="69"/>
      <c r="H40" s="70"/>
      <c r="I40" s="94"/>
      <c r="J40" s="70"/>
      <c r="K40" s="94"/>
      <c r="L40" s="70"/>
      <c r="M40" s="94"/>
      <c r="N40" s="70"/>
      <c r="O40" s="94"/>
      <c r="P40" s="70"/>
      <c r="Q40" s="94"/>
      <c r="R40" s="94"/>
      <c r="S40" s="71"/>
      <c r="T40" s="188"/>
      <c r="U40" s="99"/>
    </row>
    <row r="41" spans="1:21" x14ac:dyDescent="0.3">
      <c r="A41" s="52"/>
      <c r="B41" s="52"/>
      <c r="C41" s="52"/>
      <c r="D41" s="54"/>
      <c r="E41" s="54"/>
      <c r="F41" s="54" t="s">
        <v>34</v>
      </c>
      <c r="G41" s="54"/>
      <c r="H41" s="58">
        <f>I41*T41</f>
        <v>0</v>
      </c>
      <c r="I41" s="89"/>
      <c r="J41" s="58">
        <f>K41*T41</f>
        <v>0</v>
      </c>
      <c r="K41" s="89"/>
      <c r="L41" s="58">
        <f>M41*T41</f>
        <v>0</v>
      </c>
      <c r="M41" s="89"/>
      <c r="N41" s="58">
        <f>O41*T41</f>
        <v>0</v>
      </c>
      <c r="O41" s="89"/>
      <c r="P41" s="58">
        <f>Q41*T41</f>
        <v>700</v>
      </c>
      <c r="Q41" s="89">
        <v>1</v>
      </c>
      <c r="R41" s="89">
        <f>Q41+O41+M41+K41+I41</f>
        <v>1</v>
      </c>
      <c r="S41" s="55">
        <f t="shared" ref="S41" si="3">H41+J41+L41+N41+P41</f>
        <v>700</v>
      </c>
      <c r="T41" s="179">
        <v>700</v>
      </c>
      <c r="U41" s="99"/>
    </row>
    <row r="42" spans="1:21" x14ac:dyDescent="0.3">
      <c r="D42" s="157"/>
      <c r="E42" s="157"/>
      <c r="F42" s="72" t="s">
        <v>141</v>
      </c>
      <c r="H42" s="125">
        <f>I42*T42</f>
        <v>0</v>
      </c>
      <c r="I42" s="126"/>
      <c r="J42" s="125">
        <f>K42*T42</f>
        <v>0</v>
      </c>
      <c r="K42" s="126"/>
      <c r="L42" s="125">
        <f>M42*T42</f>
        <v>0</v>
      </c>
      <c r="M42" s="126"/>
      <c r="N42" s="125">
        <f>O42*T42</f>
        <v>0</v>
      </c>
      <c r="O42" s="126"/>
      <c r="P42" s="58">
        <f>Q42*T42</f>
        <v>1000</v>
      </c>
      <c r="Q42" s="126">
        <v>1</v>
      </c>
      <c r="R42" s="126">
        <f>Q42+O42+M42+K42+I42</f>
        <v>1</v>
      </c>
      <c r="S42" s="128">
        <f>H42+J42+L42+N42+P42</f>
        <v>1000</v>
      </c>
      <c r="T42" s="216">
        <v>1000</v>
      </c>
      <c r="U42" s="129"/>
    </row>
    <row r="43" spans="1:21" ht="13.5" thickBot="1" x14ac:dyDescent="0.35">
      <c r="A43" s="52"/>
      <c r="B43" s="52"/>
      <c r="C43" s="52"/>
      <c r="F43" s="72" t="s">
        <v>156</v>
      </c>
      <c r="P43" s="58">
        <f>Q43*T43</f>
        <v>10000</v>
      </c>
      <c r="Q43" s="126">
        <v>1</v>
      </c>
      <c r="R43" s="126">
        <v>1</v>
      </c>
      <c r="S43" s="128">
        <f>H43+J43+L43+N43+P43</f>
        <v>10000</v>
      </c>
      <c r="T43" s="186">
        <v>10000</v>
      </c>
      <c r="U43" s="129"/>
    </row>
    <row r="44" spans="1:21" ht="13.5" thickBot="1" x14ac:dyDescent="0.35">
      <c r="A44" s="52"/>
      <c r="B44" s="52"/>
      <c r="C44" s="52"/>
      <c r="D44" s="104"/>
      <c r="E44" s="118" t="s">
        <v>35</v>
      </c>
      <c r="F44" s="119"/>
      <c r="G44" s="119"/>
      <c r="H44" s="120"/>
      <c r="I44" s="121"/>
      <c r="J44" s="120"/>
      <c r="K44" s="121"/>
      <c r="L44" s="120"/>
      <c r="M44" s="121"/>
      <c r="N44" s="120"/>
      <c r="O44" s="121"/>
      <c r="P44" s="120"/>
      <c r="Q44" s="121"/>
      <c r="R44" s="121"/>
      <c r="S44" s="123"/>
      <c r="T44" s="182"/>
      <c r="U44" s="124">
        <f>SUM(T41:T44)</f>
        <v>11700</v>
      </c>
    </row>
    <row r="45" spans="1:21" x14ac:dyDescent="0.3">
      <c r="A45" s="52"/>
      <c r="B45" s="52"/>
      <c r="C45" s="52"/>
      <c r="D45" s="54"/>
      <c r="E45" s="134" t="s">
        <v>36</v>
      </c>
      <c r="F45" s="134"/>
      <c r="G45" s="134"/>
      <c r="H45" s="135"/>
      <c r="I45" s="136"/>
      <c r="J45" s="135"/>
      <c r="K45" s="136"/>
      <c r="L45" s="135"/>
      <c r="M45" s="136"/>
      <c r="N45" s="135"/>
      <c r="O45" s="136"/>
      <c r="P45" s="135"/>
      <c r="Q45" s="136"/>
      <c r="R45" s="136"/>
      <c r="S45" s="137"/>
      <c r="T45" s="189"/>
      <c r="U45" s="103"/>
    </row>
    <row r="46" spans="1:21" x14ac:dyDescent="0.3">
      <c r="A46" s="52"/>
      <c r="B46" s="52"/>
      <c r="C46" s="52"/>
      <c r="D46" s="54"/>
      <c r="E46" s="54"/>
      <c r="F46" s="54" t="s">
        <v>37</v>
      </c>
      <c r="G46" s="54"/>
      <c r="H46" s="58">
        <f t="shared" ref="H46:H54" si="4">I46*T46</f>
        <v>0</v>
      </c>
      <c r="I46" s="89"/>
      <c r="J46" s="58">
        <f t="shared" ref="J46:J54" si="5">K46*T46</f>
        <v>0</v>
      </c>
      <c r="K46" s="89"/>
      <c r="L46" s="58">
        <f t="shared" ref="L46:L54" si="6">M46*T46</f>
        <v>0</v>
      </c>
      <c r="M46" s="89"/>
      <c r="N46" s="58">
        <f t="shared" ref="N46:N54" si="7">O46*T46</f>
        <v>44000</v>
      </c>
      <c r="O46" s="89">
        <v>1</v>
      </c>
      <c r="P46" s="58">
        <f t="shared" ref="P46:P54" si="8">Q46*T46</f>
        <v>0</v>
      </c>
      <c r="Q46" s="89"/>
      <c r="R46" s="89">
        <f t="shared" si="1"/>
        <v>1</v>
      </c>
      <c r="S46" s="55">
        <f t="shared" ref="S46:S116" si="9">H46+J46+L46+N46+P46</f>
        <v>44000</v>
      </c>
      <c r="T46" s="179">
        <v>44000</v>
      </c>
      <c r="U46" s="99"/>
    </row>
    <row r="47" spans="1:21" x14ac:dyDescent="0.3">
      <c r="A47" s="52"/>
      <c r="B47" s="52"/>
      <c r="C47" s="52"/>
      <c r="D47" s="54"/>
      <c r="E47" s="54"/>
      <c r="F47" s="54" t="s">
        <v>38</v>
      </c>
      <c r="G47" s="54"/>
      <c r="H47" s="58">
        <f t="shared" si="4"/>
        <v>0</v>
      </c>
      <c r="I47" s="89"/>
      <c r="J47" s="58">
        <f t="shared" si="5"/>
        <v>0</v>
      </c>
      <c r="K47" s="89"/>
      <c r="L47" s="58">
        <f t="shared" si="6"/>
        <v>0</v>
      </c>
      <c r="M47" s="89"/>
      <c r="N47" s="58">
        <f t="shared" si="7"/>
        <v>15000</v>
      </c>
      <c r="O47" s="89">
        <v>1</v>
      </c>
      <c r="P47" s="58">
        <f t="shared" si="8"/>
        <v>0</v>
      </c>
      <c r="Q47" s="89"/>
      <c r="R47" s="89">
        <f t="shared" si="1"/>
        <v>1</v>
      </c>
      <c r="S47" s="55">
        <f t="shared" si="9"/>
        <v>15000</v>
      </c>
      <c r="T47" s="179">
        <v>15000</v>
      </c>
      <c r="U47" s="99"/>
    </row>
    <row r="48" spans="1:21" x14ac:dyDescent="0.3">
      <c r="A48" s="52"/>
      <c r="B48" s="52"/>
      <c r="C48" s="52"/>
      <c r="D48" s="54"/>
      <c r="E48" s="54"/>
      <c r="F48" s="54" t="s">
        <v>39</v>
      </c>
      <c r="G48" s="54"/>
      <c r="H48" s="58">
        <f t="shared" si="4"/>
        <v>0</v>
      </c>
      <c r="I48" s="89"/>
      <c r="J48" s="58">
        <f t="shared" si="5"/>
        <v>0</v>
      </c>
      <c r="K48" s="89"/>
      <c r="L48" s="58">
        <f t="shared" si="6"/>
        <v>0</v>
      </c>
      <c r="M48" s="89"/>
      <c r="N48" s="58">
        <f t="shared" si="7"/>
        <v>0</v>
      </c>
      <c r="O48" s="89">
        <v>1</v>
      </c>
      <c r="P48" s="58">
        <f t="shared" si="8"/>
        <v>0</v>
      </c>
      <c r="Q48" s="89"/>
      <c r="R48" s="89">
        <f t="shared" si="1"/>
        <v>1</v>
      </c>
      <c r="S48" s="55">
        <f t="shared" si="9"/>
        <v>0</v>
      </c>
      <c r="T48" s="179">
        <v>0</v>
      </c>
      <c r="U48" s="99"/>
    </row>
    <row r="49" spans="1:21" x14ac:dyDescent="0.3">
      <c r="A49" s="52"/>
      <c r="B49" s="52"/>
      <c r="C49" s="52"/>
      <c r="D49" s="54"/>
      <c r="E49" s="54"/>
      <c r="F49" s="54" t="s">
        <v>40</v>
      </c>
      <c r="G49" s="54"/>
      <c r="H49" s="58">
        <f t="shared" si="4"/>
        <v>0</v>
      </c>
      <c r="I49" s="89"/>
      <c r="J49" s="58">
        <f t="shared" si="5"/>
        <v>0</v>
      </c>
      <c r="K49" s="89"/>
      <c r="L49" s="58">
        <f t="shared" si="6"/>
        <v>0</v>
      </c>
      <c r="M49" s="89"/>
      <c r="N49" s="58">
        <f t="shared" si="7"/>
        <v>34931.75</v>
      </c>
      <c r="O49" s="89">
        <v>1</v>
      </c>
      <c r="P49" s="58">
        <f t="shared" si="8"/>
        <v>0</v>
      </c>
      <c r="Q49" s="89"/>
      <c r="R49" s="89">
        <f t="shared" si="1"/>
        <v>1</v>
      </c>
      <c r="S49" s="55">
        <f t="shared" si="9"/>
        <v>34931.75</v>
      </c>
      <c r="T49" s="179">
        <v>34931.75</v>
      </c>
      <c r="U49" s="99"/>
    </row>
    <row r="50" spans="1:21" x14ac:dyDescent="0.3">
      <c r="A50" s="52"/>
      <c r="B50" s="52"/>
      <c r="C50" s="52"/>
      <c r="D50" s="54"/>
      <c r="E50" s="54"/>
      <c r="F50" s="54" t="s">
        <v>41</v>
      </c>
      <c r="G50" s="54"/>
      <c r="H50" s="58">
        <f t="shared" si="4"/>
        <v>0</v>
      </c>
      <c r="I50" s="89"/>
      <c r="J50" s="58">
        <f t="shared" si="5"/>
        <v>0</v>
      </c>
      <c r="K50" s="89"/>
      <c r="L50" s="58">
        <f t="shared" si="6"/>
        <v>0</v>
      </c>
      <c r="M50" s="89"/>
      <c r="N50" s="58">
        <f t="shared" si="7"/>
        <v>100</v>
      </c>
      <c r="O50" s="89">
        <v>1</v>
      </c>
      <c r="P50" s="58">
        <f t="shared" si="8"/>
        <v>0</v>
      </c>
      <c r="Q50" s="89"/>
      <c r="R50" s="89">
        <f t="shared" si="1"/>
        <v>1</v>
      </c>
      <c r="S50" s="55">
        <f t="shared" si="9"/>
        <v>100</v>
      </c>
      <c r="T50" s="179">
        <v>100</v>
      </c>
      <c r="U50" s="99"/>
    </row>
    <row r="51" spans="1:21" x14ac:dyDescent="0.3">
      <c r="A51" s="52"/>
      <c r="B51" s="52"/>
      <c r="C51" s="52"/>
      <c r="D51" s="54"/>
      <c r="E51" s="54"/>
      <c r="F51" s="54" t="s">
        <v>154</v>
      </c>
      <c r="G51" s="54"/>
      <c r="H51" s="58">
        <f t="shared" si="4"/>
        <v>0</v>
      </c>
      <c r="I51" s="89"/>
      <c r="J51" s="58">
        <f t="shared" si="5"/>
        <v>0</v>
      </c>
      <c r="K51" s="89"/>
      <c r="L51" s="58">
        <f t="shared" si="6"/>
        <v>0</v>
      </c>
      <c r="M51" s="89"/>
      <c r="N51" s="58">
        <f t="shared" si="7"/>
        <v>36000</v>
      </c>
      <c r="O51" s="89">
        <v>1</v>
      </c>
      <c r="P51" s="58">
        <f t="shared" si="8"/>
        <v>0</v>
      </c>
      <c r="Q51" s="89"/>
      <c r="R51" s="89">
        <f t="shared" ref="R51:R122" si="10">Q51+O51+M51+K51+I51</f>
        <v>1</v>
      </c>
      <c r="S51" s="55">
        <f t="shared" si="9"/>
        <v>36000</v>
      </c>
      <c r="T51" s="179">
        <v>36000</v>
      </c>
      <c r="U51" s="99"/>
    </row>
    <row r="52" spans="1:21" x14ac:dyDescent="0.3">
      <c r="A52" s="52"/>
      <c r="B52" s="52"/>
      <c r="C52" s="52"/>
      <c r="D52" s="54"/>
      <c r="E52" s="54"/>
      <c r="F52" s="54" t="s">
        <v>129</v>
      </c>
      <c r="G52" s="54"/>
      <c r="H52" s="58">
        <f t="shared" si="4"/>
        <v>0</v>
      </c>
      <c r="I52" s="89"/>
      <c r="J52" s="58">
        <f t="shared" si="5"/>
        <v>0</v>
      </c>
      <c r="K52" s="89"/>
      <c r="L52" s="58">
        <f t="shared" si="6"/>
        <v>0</v>
      </c>
      <c r="M52" s="89"/>
      <c r="N52" s="58">
        <f t="shared" si="7"/>
        <v>35000</v>
      </c>
      <c r="O52" s="89">
        <v>1</v>
      </c>
      <c r="P52" s="58">
        <f t="shared" si="8"/>
        <v>0</v>
      </c>
      <c r="Q52" s="89"/>
      <c r="R52" s="89">
        <f t="shared" si="10"/>
        <v>1</v>
      </c>
      <c r="S52" s="55">
        <f t="shared" si="9"/>
        <v>35000</v>
      </c>
      <c r="T52" s="179">
        <v>35000</v>
      </c>
      <c r="U52" s="99"/>
    </row>
    <row r="53" spans="1:21" x14ac:dyDescent="0.3">
      <c r="A53" s="52"/>
      <c r="B53" s="52"/>
      <c r="C53" s="52"/>
      <c r="D53" s="54"/>
      <c r="E53" s="105"/>
      <c r="F53" s="105" t="s">
        <v>167</v>
      </c>
      <c r="G53" s="105"/>
      <c r="H53" s="125">
        <f t="shared" si="4"/>
        <v>0</v>
      </c>
      <c r="I53" s="126"/>
      <c r="J53" s="125">
        <f t="shared" si="5"/>
        <v>0</v>
      </c>
      <c r="K53" s="126"/>
      <c r="L53" s="125">
        <f t="shared" si="6"/>
        <v>0</v>
      </c>
      <c r="M53" s="126"/>
      <c r="N53" s="125">
        <f t="shared" si="7"/>
        <v>3476</v>
      </c>
      <c r="O53" s="126">
        <v>1</v>
      </c>
      <c r="P53" s="125">
        <f t="shared" si="8"/>
        <v>0</v>
      </c>
      <c r="Q53" s="126"/>
      <c r="R53" s="126">
        <f t="shared" si="10"/>
        <v>1</v>
      </c>
      <c r="S53" s="128">
        <f t="shared" si="9"/>
        <v>3476</v>
      </c>
      <c r="T53" s="184">
        <v>3476</v>
      </c>
      <c r="U53" s="129"/>
    </row>
    <row r="54" spans="1:21" ht="13.5" thickBot="1" x14ac:dyDescent="0.35">
      <c r="A54" s="52"/>
      <c r="B54" s="52"/>
      <c r="C54" s="52"/>
      <c r="D54" s="54"/>
      <c r="E54" s="105"/>
      <c r="F54" s="105" t="s">
        <v>42</v>
      </c>
      <c r="G54" s="105"/>
      <c r="H54" s="125">
        <f t="shared" si="4"/>
        <v>0</v>
      </c>
      <c r="I54" s="126"/>
      <c r="J54" s="125">
        <f t="shared" si="5"/>
        <v>0</v>
      </c>
      <c r="K54" s="126"/>
      <c r="L54" s="125">
        <f t="shared" si="6"/>
        <v>0</v>
      </c>
      <c r="M54" s="126"/>
      <c r="N54" s="125">
        <f t="shared" si="7"/>
        <v>6000</v>
      </c>
      <c r="O54" s="126">
        <v>1</v>
      </c>
      <c r="P54" s="125">
        <f t="shared" si="8"/>
        <v>0</v>
      </c>
      <c r="Q54" s="126"/>
      <c r="R54" s="126">
        <f t="shared" si="10"/>
        <v>1</v>
      </c>
      <c r="S54" s="128">
        <f t="shared" si="9"/>
        <v>6000</v>
      </c>
      <c r="T54" s="184">
        <v>6000</v>
      </c>
      <c r="U54" s="129"/>
    </row>
    <row r="55" spans="1:21" ht="13.5" thickBot="1" x14ac:dyDescent="0.35">
      <c r="A55" s="52"/>
      <c r="B55" s="52"/>
      <c r="C55" s="52"/>
      <c r="D55" s="104"/>
      <c r="E55" s="118" t="s">
        <v>43</v>
      </c>
      <c r="F55" s="119"/>
      <c r="G55" s="119"/>
      <c r="H55" s="120"/>
      <c r="I55" s="121"/>
      <c r="J55" s="120"/>
      <c r="K55" s="121"/>
      <c r="L55" s="120"/>
      <c r="M55" s="121"/>
      <c r="N55" s="120"/>
      <c r="O55" s="121"/>
      <c r="P55" s="120"/>
      <c r="Q55" s="121"/>
      <c r="R55" s="121"/>
      <c r="S55" s="123"/>
      <c r="T55" s="190"/>
      <c r="U55" s="124">
        <f>SUM(T46:T55)</f>
        <v>174507.75</v>
      </c>
    </row>
    <row r="56" spans="1:21" s="166" customFormat="1" x14ac:dyDescent="0.3">
      <c r="A56" s="158"/>
      <c r="B56" s="158"/>
      <c r="C56" s="158"/>
      <c r="D56" s="159"/>
      <c r="E56" s="160"/>
      <c r="F56" s="161" t="s">
        <v>158</v>
      </c>
      <c r="G56" s="161"/>
      <c r="H56" s="162"/>
      <c r="I56" s="163"/>
      <c r="J56" s="162">
        <f>K56*T56</f>
        <v>2500</v>
      </c>
      <c r="K56" s="163">
        <v>1</v>
      </c>
      <c r="L56" s="162"/>
      <c r="M56" s="163"/>
      <c r="N56" s="162"/>
      <c r="O56" s="163"/>
      <c r="P56" s="162"/>
      <c r="Q56" s="163"/>
      <c r="R56" s="163"/>
      <c r="S56" s="128">
        <f t="shared" si="9"/>
        <v>2500</v>
      </c>
      <c r="T56" s="191">
        <v>2500</v>
      </c>
      <c r="U56" s="167">
        <v>2500</v>
      </c>
    </row>
    <row r="57" spans="1:21" x14ac:dyDescent="0.3">
      <c r="A57" s="52"/>
      <c r="B57" s="52"/>
      <c r="C57" s="52"/>
      <c r="D57" s="54"/>
      <c r="E57" s="134" t="s">
        <v>44</v>
      </c>
      <c r="F57" s="134"/>
      <c r="G57" s="134"/>
      <c r="H57" s="135"/>
      <c r="I57" s="136"/>
      <c r="J57" s="135"/>
      <c r="K57" s="136"/>
      <c r="L57" s="135"/>
      <c r="M57" s="136"/>
      <c r="N57" s="135"/>
      <c r="O57" s="136"/>
      <c r="P57" s="135"/>
      <c r="Q57" s="136"/>
      <c r="R57" s="136"/>
      <c r="S57" s="137"/>
      <c r="T57" s="189"/>
      <c r="U57" s="103"/>
    </row>
    <row r="58" spans="1:21" x14ac:dyDescent="0.3">
      <c r="A58" s="52"/>
      <c r="B58" s="52"/>
      <c r="C58" s="52"/>
      <c r="D58" s="54"/>
      <c r="E58" s="54"/>
      <c r="F58" s="54" t="s">
        <v>45</v>
      </c>
      <c r="G58" s="54"/>
      <c r="H58" s="58">
        <f>I58*T58</f>
        <v>25000</v>
      </c>
      <c r="I58" s="89">
        <v>1</v>
      </c>
      <c r="J58" s="58">
        <f>K58*T58</f>
        <v>0</v>
      </c>
      <c r="K58" s="89"/>
      <c r="L58" s="58">
        <f>M58*T58</f>
        <v>0</v>
      </c>
      <c r="M58" s="89"/>
      <c r="N58" s="58">
        <f>O58*T58</f>
        <v>0</v>
      </c>
      <c r="O58" s="89"/>
      <c r="P58" s="58">
        <f>Q58*T58</f>
        <v>0</v>
      </c>
      <c r="Q58" s="89"/>
      <c r="R58" s="89">
        <f t="shared" si="10"/>
        <v>1</v>
      </c>
      <c r="S58" s="55">
        <f t="shared" si="9"/>
        <v>25000</v>
      </c>
      <c r="T58" s="179">
        <v>25000</v>
      </c>
      <c r="U58" s="99"/>
    </row>
    <row r="59" spans="1:21" x14ac:dyDescent="0.3">
      <c r="A59" s="52"/>
      <c r="B59" s="52"/>
      <c r="C59" s="52"/>
      <c r="D59" s="54"/>
      <c r="E59" s="54"/>
      <c r="F59" s="54" t="s">
        <v>46</v>
      </c>
      <c r="G59" s="54"/>
      <c r="H59" s="58">
        <f>I59*T59</f>
        <v>0</v>
      </c>
      <c r="I59" s="89">
        <v>1</v>
      </c>
      <c r="J59" s="58">
        <f>K59*T59</f>
        <v>0</v>
      </c>
      <c r="K59" s="89"/>
      <c r="L59" s="58">
        <f>M59*T59</f>
        <v>0</v>
      </c>
      <c r="M59" s="89"/>
      <c r="N59" s="58">
        <f>O59*T59</f>
        <v>0</v>
      </c>
      <c r="O59" s="89"/>
      <c r="P59" s="58">
        <f>Q59*T59</f>
        <v>0</v>
      </c>
      <c r="Q59" s="89"/>
      <c r="R59" s="89">
        <f t="shared" si="10"/>
        <v>1</v>
      </c>
      <c r="S59" s="55">
        <f t="shared" si="9"/>
        <v>0</v>
      </c>
      <c r="T59" s="179"/>
      <c r="U59" s="99"/>
    </row>
    <row r="60" spans="1:21" x14ac:dyDescent="0.3">
      <c r="A60" s="52"/>
      <c r="B60" s="52"/>
      <c r="C60" s="52"/>
      <c r="D60" s="54"/>
      <c r="E60" s="54"/>
      <c r="F60" s="69" t="s">
        <v>47</v>
      </c>
      <c r="G60" s="69"/>
      <c r="H60" s="70"/>
      <c r="I60" s="94"/>
      <c r="J60" s="70"/>
      <c r="K60" s="94"/>
      <c r="L60" s="70"/>
      <c r="M60" s="94"/>
      <c r="N60" s="70"/>
      <c r="O60" s="94"/>
      <c r="P60" s="70"/>
      <c r="Q60" s="94"/>
      <c r="R60" s="94"/>
      <c r="S60" s="71"/>
      <c r="T60" s="188"/>
      <c r="U60" s="99"/>
    </row>
    <row r="61" spans="1:21" x14ac:dyDescent="0.3">
      <c r="A61" s="52"/>
      <c r="B61" s="52"/>
      <c r="C61" s="52"/>
      <c r="D61" s="54"/>
      <c r="E61" s="54"/>
      <c r="F61" s="54"/>
      <c r="G61" s="54" t="s">
        <v>48</v>
      </c>
      <c r="H61" s="58">
        <f>I61*T61</f>
        <v>0</v>
      </c>
      <c r="I61" s="89">
        <v>1</v>
      </c>
      <c r="J61" s="58">
        <f>K61*T61</f>
        <v>0</v>
      </c>
      <c r="K61" s="89"/>
      <c r="L61" s="58">
        <f>M61*T61</f>
        <v>0</v>
      </c>
      <c r="M61" s="89"/>
      <c r="N61" s="58">
        <f>O61*T61</f>
        <v>0</v>
      </c>
      <c r="O61" s="89"/>
      <c r="P61" s="58">
        <f>Q61*T61</f>
        <v>0</v>
      </c>
      <c r="Q61" s="89"/>
      <c r="R61" s="89">
        <f t="shared" si="10"/>
        <v>1</v>
      </c>
      <c r="S61" s="55">
        <f t="shared" si="9"/>
        <v>0</v>
      </c>
      <c r="T61" s="179"/>
      <c r="U61" s="99"/>
    </row>
    <row r="62" spans="1:21" x14ac:dyDescent="0.3">
      <c r="A62" s="52"/>
      <c r="B62" s="52"/>
      <c r="C62" s="52"/>
      <c r="D62" s="54"/>
      <c r="E62" s="54"/>
      <c r="F62" s="54"/>
      <c r="G62" s="54" t="s">
        <v>49</v>
      </c>
      <c r="H62" s="58">
        <f>I62*T62</f>
        <v>0</v>
      </c>
      <c r="I62" s="89">
        <v>1</v>
      </c>
      <c r="J62" s="58">
        <f>K62*T62</f>
        <v>0</v>
      </c>
      <c r="K62" s="89"/>
      <c r="L62" s="58">
        <f>M62*T62</f>
        <v>0</v>
      </c>
      <c r="M62" s="89"/>
      <c r="N62" s="58">
        <f>O62*T62</f>
        <v>0</v>
      </c>
      <c r="O62" s="89"/>
      <c r="P62" s="58">
        <f>Q62*T62</f>
        <v>0</v>
      </c>
      <c r="Q62" s="89"/>
      <c r="R62" s="89">
        <f t="shared" ref="R62" si="11">Q62+O62+M62+K62+I62</f>
        <v>1</v>
      </c>
      <c r="S62" s="55">
        <f t="shared" ref="S62" si="12">H62+J62+L62+N62+P62</f>
        <v>0</v>
      </c>
      <c r="T62" s="179">
        <v>0</v>
      </c>
      <c r="U62" s="99"/>
    </row>
    <row r="63" spans="1:21" x14ac:dyDescent="0.3">
      <c r="A63" s="52"/>
      <c r="B63" s="52"/>
      <c r="C63" s="52"/>
      <c r="D63" s="54"/>
      <c r="E63" s="54"/>
      <c r="F63" s="54"/>
      <c r="G63" s="54" t="s">
        <v>152</v>
      </c>
      <c r="H63" s="58">
        <f>I63*T63</f>
        <v>500</v>
      </c>
      <c r="I63" s="89">
        <v>1</v>
      </c>
      <c r="J63" s="58">
        <f>K63*T63</f>
        <v>0</v>
      </c>
      <c r="K63" s="89"/>
      <c r="L63" s="58">
        <f>M63*T63</f>
        <v>0</v>
      </c>
      <c r="M63" s="89"/>
      <c r="N63" s="58">
        <f>O63*T63</f>
        <v>0</v>
      </c>
      <c r="O63" s="89"/>
      <c r="P63" s="58">
        <f>Q63*T63</f>
        <v>0</v>
      </c>
      <c r="Q63" s="89"/>
      <c r="R63" s="89">
        <f t="shared" si="10"/>
        <v>1</v>
      </c>
      <c r="S63" s="55">
        <f t="shared" si="9"/>
        <v>500</v>
      </c>
      <c r="T63" s="179">
        <v>500</v>
      </c>
      <c r="U63" s="99"/>
    </row>
    <row r="64" spans="1:21" x14ac:dyDescent="0.3">
      <c r="A64" s="52"/>
      <c r="B64" s="52"/>
      <c r="C64" s="52"/>
      <c r="D64" s="54"/>
      <c r="E64" s="54"/>
      <c r="F64" s="69" t="s">
        <v>50</v>
      </c>
      <c r="G64" s="69"/>
      <c r="H64" s="70"/>
      <c r="I64" s="94"/>
      <c r="J64" s="70"/>
      <c r="K64" s="94"/>
      <c r="L64" s="70"/>
      <c r="M64" s="94"/>
      <c r="N64" s="70"/>
      <c r="O64" s="94"/>
      <c r="P64" s="70"/>
      <c r="Q64" s="94"/>
      <c r="R64" s="94"/>
      <c r="S64" s="71"/>
      <c r="T64" s="188"/>
      <c r="U64" s="99"/>
    </row>
    <row r="65" spans="1:21" ht="13.5" thickBot="1" x14ac:dyDescent="0.35">
      <c r="A65" s="52"/>
      <c r="B65" s="52"/>
      <c r="C65" s="52"/>
      <c r="D65" s="54"/>
      <c r="E65" s="105"/>
      <c r="F65" s="105" t="s">
        <v>51</v>
      </c>
      <c r="G65" s="105"/>
      <c r="H65" s="125">
        <f>I65*T65</f>
        <v>160</v>
      </c>
      <c r="I65" s="126">
        <v>1</v>
      </c>
      <c r="J65" s="125">
        <f>K65*T65</f>
        <v>0</v>
      </c>
      <c r="K65" s="126"/>
      <c r="L65" s="125">
        <f>M65*T65</f>
        <v>0</v>
      </c>
      <c r="M65" s="126"/>
      <c r="N65" s="125">
        <f>O65*T65</f>
        <v>0</v>
      </c>
      <c r="O65" s="126"/>
      <c r="P65" s="125">
        <f>Q65*T65</f>
        <v>0</v>
      </c>
      <c r="Q65" s="126"/>
      <c r="R65" s="126">
        <f t="shared" si="10"/>
        <v>1</v>
      </c>
      <c r="S65" s="128">
        <f t="shared" si="9"/>
        <v>160</v>
      </c>
      <c r="T65" s="184">
        <v>160</v>
      </c>
      <c r="U65" s="129"/>
    </row>
    <row r="66" spans="1:21" ht="13.5" thickBot="1" x14ac:dyDescent="0.35">
      <c r="A66" s="52"/>
      <c r="B66" s="52"/>
      <c r="C66" s="52"/>
      <c r="D66" s="104"/>
      <c r="E66" s="118" t="s">
        <v>52</v>
      </c>
      <c r="F66" s="119"/>
      <c r="G66" s="119"/>
      <c r="H66" s="120"/>
      <c r="I66" s="121"/>
      <c r="J66" s="120"/>
      <c r="K66" s="121"/>
      <c r="L66" s="120"/>
      <c r="M66" s="121"/>
      <c r="N66" s="120"/>
      <c r="O66" s="121"/>
      <c r="P66" s="120"/>
      <c r="Q66" s="121"/>
      <c r="R66" s="121"/>
      <c r="S66" s="123"/>
      <c r="T66" s="182"/>
      <c r="U66" s="124">
        <f>SUM(T57:T66)</f>
        <v>25660</v>
      </c>
    </row>
    <row r="67" spans="1:21" x14ac:dyDescent="0.3">
      <c r="A67" s="52"/>
      <c r="B67" s="52"/>
      <c r="C67" s="52"/>
      <c r="D67" s="54"/>
      <c r="E67" s="112" t="s">
        <v>53</v>
      </c>
      <c r="F67" s="112"/>
      <c r="G67" s="112"/>
      <c r="H67" s="66">
        <f>I67*T67</f>
        <v>0</v>
      </c>
      <c r="I67" s="138"/>
      <c r="J67" s="66">
        <f>K67*T67</f>
        <v>0</v>
      </c>
      <c r="K67" s="138"/>
      <c r="L67" s="66">
        <f>M67*T67</f>
        <v>0</v>
      </c>
      <c r="M67" s="138"/>
      <c r="N67" s="66">
        <f>O67*T67</f>
        <v>0</v>
      </c>
      <c r="O67" s="138"/>
      <c r="P67" s="66">
        <f>Q67*T67</f>
        <v>0</v>
      </c>
      <c r="Q67" s="138"/>
      <c r="R67" s="138"/>
      <c r="S67" s="83">
        <f t="shared" si="9"/>
        <v>0</v>
      </c>
      <c r="T67" s="192"/>
      <c r="U67" s="103"/>
    </row>
    <row r="68" spans="1:21" x14ac:dyDescent="0.3">
      <c r="A68" s="52"/>
      <c r="B68" s="52"/>
      <c r="C68" s="52"/>
      <c r="D68" s="54"/>
      <c r="E68" s="54"/>
      <c r="F68" s="54" t="s">
        <v>128</v>
      </c>
      <c r="G68" s="54"/>
      <c r="H68" s="58">
        <f>I68*T68</f>
        <v>12.5</v>
      </c>
      <c r="I68" s="89">
        <v>0.1</v>
      </c>
      <c r="J68" s="58">
        <f>K68*T68</f>
        <v>37.5</v>
      </c>
      <c r="K68" s="89">
        <v>0.3</v>
      </c>
      <c r="L68" s="58">
        <f>M68*T68</f>
        <v>37.5</v>
      </c>
      <c r="M68" s="89">
        <v>0.3</v>
      </c>
      <c r="N68" s="58">
        <f>O68*T68</f>
        <v>37.5</v>
      </c>
      <c r="O68" s="89">
        <v>0.3</v>
      </c>
      <c r="P68" s="58">
        <f>Q68*T68</f>
        <v>0</v>
      </c>
      <c r="Q68" s="89"/>
      <c r="R68" s="89">
        <f t="shared" ref="R68" si="13">Q68+O68+M68+K68+I68</f>
        <v>0.99999999999999989</v>
      </c>
      <c r="S68" s="55">
        <f t="shared" ref="S68" si="14">H68+J68+L68+N68+P68</f>
        <v>125</v>
      </c>
      <c r="T68" s="179">
        <v>125</v>
      </c>
      <c r="U68" s="99"/>
    </row>
    <row r="69" spans="1:21" x14ac:dyDescent="0.3">
      <c r="A69" s="52"/>
      <c r="B69" s="52"/>
      <c r="C69" s="52"/>
      <c r="D69" s="54"/>
      <c r="E69" s="54"/>
      <c r="F69" s="54" t="s">
        <v>54</v>
      </c>
      <c r="G69" s="54"/>
      <c r="H69" s="58">
        <f>I69*T69</f>
        <v>80</v>
      </c>
      <c r="I69" s="89">
        <v>0.1</v>
      </c>
      <c r="J69" s="58">
        <f>K69*T69</f>
        <v>240</v>
      </c>
      <c r="K69" s="89">
        <v>0.3</v>
      </c>
      <c r="L69" s="58">
        <f>M69*T69</f>
        <v>240</v>
      </c>
      <c r="M69" s="89">
        <v>0.3</v>
      </c>
      <c r="N69" s="58">
        <f>O69*T69</f>
        <v>240</v>
      </c>
      <c r="O69" s="89">
        <v>0.3</v>
      </c>
      <c r="P69" s="58">
        <f>Q69*T69</f>
        <v>0</v>
      </c>
      <c r="Q69" s="89"/>
      <c r="R69" s="89">
        <f t="shared" si="10"/>
        <v>0.99999999999999989</v>
      </c>
      <c r="S69" s="55">
        <f t="shared" si="9"/>
        <v>800</v>
      </c>
      <c r="T69" s="179">
        <v>800</v>
      </c>
      <c r="U69" s="99"/>
    </row>
    <row r="70" spans="1:21" x14ac:dyDescent="0.3">
      <c r="A70" s="52"/>
      <c r="B70" s="52"/>
      <c r="C70" s="52"/>
      <c r="D70" s="54"/>
      <c r="E70" s="54"/>
      <c r="F70" s="54" t="s">
        <v>55</v>
      </c>
      <c r="G70" s="54"/>
      <c r="H70" s="58">
        <f>I70*T70</f>
        <v>2500</v>
      </c>
      <c r="I70" s="89">
        <v>0.5</v>
      </c>
      <c r="J70" s="58">
        <f>K70*T70</f>
        <v>750</v>
      </c>
      <c r="K70" s="89">
        <v>0.15</v>
      </c>
      <c r="L70" s="58">
        <f>M70*T70</f>
        <v>750</v>
      </c>
      <c r="M70" s="89">
        <v>0.15</v>
      </c>
      <c r="N70" s="58">
        <f>O70*T70</f>
        <v>1000</v>
      </c>
      <c r="O70" s="89">
        <v>0.2</v>
      </c>
      <c r="P70" s="58">
        <f>Q70*T70</f>
        <v>0</v>
      </c>
      <c r="Q70" s="89"/>
      <c r="R70" s="89">
        <f t="shared" si="10"/>
        <v>1</v>
      </c>
      <c r="S70" s="55">
        <f t="shared" si="9"/>
        <v>5000</v>
      </c>
      <c r="T70" s="179">
        <v>5000</v>
      </c>
      <c r="U70" s="99"/>
    </row>
    <row r="71" spans="1:21" ht="13.5" thickBot="1" x14ac:dyDescent="0.35">
      <c r="A71" s="52"/>
      <c r="B71" s="52"/>
      <c r="C71" s="52"/>
      <c r="D71" s="54"/>
      <c r="E71" s="105"/>
      <c r="F71" s="105" t="s">
        <v>169</v>
      </c>
      <c r="G71" s="105"/>
      <c r="H71" s="125">
        <f>I71*T71</f>
        <v>3840</v>
      </c>
      <c r="I71" s="126">
        <v>0.4</v>
      </c>
      <c r="J71" s="125">
        <f>K71*T71</f>
        <v>1920</v>
      </c>
      <c r="K71" s="126">
        <v>0.2</v>
      </c>
      <c r="L71" s="125">
        <f>M71*T71</f>
        <v>1920</v>
      </c>
      <c r="M71" s="126">
        <v>0.2</v>
      </c>
      <c r="N71" s="125">
        <f>O71*T71</f>
        <v>1920</v>
      </c>
      <c r="O71" s="126">
        <v>0.2</v>
      </c>
      <c r="P71" s="125">
        <f>Q71*T71</f>
        <v>0</v>
      </c>
      <c r="Q71" s="126"/>
      <c r="R71" s="126">
        <f t="shared" si="10"/>
        <v>1</v>
      </c>
      <c r="S71" s="128">
        <f t="shared" si="9"/>
        <v>9600</v>
      </c>
      <c r="T71" s="184">
        <v>9600</v>
      </c>
      <c r="U71" s="129"/>
    </row>
    <row r="72" spans="1:21" ht="13.5" thickBot="1" x14ac:dyDescent="0.35">
      <c r="A72" s="52"/>
      <c r="B72" s="52"/>
      <c r="C72" s="52"/>
      <c r="D72" s="104"/>
      <c r="E72" s="118" t="s">
        <v>57</v>
      </c>
      <c r="F72" s="119"/>
      <c r="G72" s="119"/>
      <c r="H72" s="120"/>
      <c r="I72" s="121"/>
      <c r="J72" s="120"/>
      <c r="K72" s="121"/>
      <c r="L72" s="120"/>
      <c r="M72" s="121"/>
      <c r="N72" s="120"/>
      <c r="O72" s="121"/>
      <c r="P72" s="120"/>
      <c r="Q72" s="121"/>
      <c r="R72" s="121"/>
      <c r="S72" s="123"/>
      <c r="T72" s="182"/>
      <c r="U72" s="124">
        <f>SUM(T68:T72)</f>
        <v>15525</v>
      </c>
    </row>
    <row r="73" spans="1:21" x14ac:dyDescent="0.3">
      <c r="A73" s="52"/>
      <c r="B73" s="52"/>
      <c r="C73" s="52"/>
      <c r="D73" s="54"/>
      <c r="E73" s="139" t="s">
        <v>127</v>
      </c>
      <c r="F73" s="140"/>
      <c r="G73" s="140"/>
      <c r="H73" s="141">
        <f>I73*T73</f>
        <v>0</v>
      </c>
      <c r="I73" s="142"/>
      <c r="J73" s="141">
        <f>K73*T73</f>
        <v>0</v>
      </c>
      <c r="K73" s="142"/>
      <c r="L73" s="141">
        <f>M73*T73</f>
        <v>500</v>
      </c>
      <c r="M73" s="142">
        <v>1</v>
      </c>
      <c r="N73" s="141">
        <f>O73*T73</f>
        <v>0</v>
      </c>
      <c r="O73" s="142"/>
      <c r="P73" s="141">
        <f>Q73*T73</f>
        <v>0</v>
      </c>
      <c r="Q73" s="142"/>
      <c r="R73" s="142">
        <f t="shared" ref="R73" si="15">Q73+O73+M73+K73+I73</f>
        <v>1</v>
      </c>
      <c r="S73" s="143">
        <f t="shared" ref="S73" si="16">H73+J73+L73+N73+P73</f>
        <v>500</v>
      </c>
      <c r="T73" s="193">
        <v>500</v>
      </c>
      <c r="U73" s="144"/>
    </row>
    <row r="74" spans="1:21" x14ac:dyDescent="0.3">
      <c r="A74" s="52"/>
      <c r="B74" s="52"/>
      <c r="C74" s="52"/>
      <c r="D74" s="54"/>
      <c r="E74" s="54" t="s">
        <v>58</v>
      </c>
      <c r="F74" s="69"/>
      <c r="G74" s="69"/>
      <c r="H74" s="70"/>
      <c r="I74" s="94"/>
      <c r="J74" s="70"/>
      <c r="K74" s="94"/>
      <c r="L74" s="70"/>
      <c r="M74" s="94"/>
      <c r="N74" s="70"/>
      <c r="O74" s="94"/>
      <c r="P74" s="70"/>
      <c r="Q74" s="94"/>
      <c r="R74" s="94"/>
      <c r="S74" s="71"/>
      <c r="T74" s="188"/>
      <c r="U74" s="99"/>
    </row>
    <row r="75" spans="1:21" x14ac:dyDescent="0.3">
      <c r="A75" s="52"/>
      <c r="B75" s="52"/>
      <c r="C75" s="52"/>
      <c r="D75" s="54"/>
      <c r="E75" s="54"/>
      <c r="F75" s="69" t="s">
        <v>59</v>
      </c>
      <c r="G75" s="69"/>
      <c r="H75" s="70"/>
      <c r="I75" s="94"/>
      <c r="J75" s="70"/>
      <c r="K75" s="94"/>
      <c r="L75" s="70"/>
      <c r="M75" s="94"/>
      <c r="N75" s="70"/>
      <c r="O75" s="94"/>
      <c r="P75" s="70"/>
      <c r="Q75" s="94"/>
      <c r="R75" s="94"/>
      <c r="S75" s="71"/>
      <c r="T75" s="188"/>
      <c r="U75" s="99"/>
    </row>
    <row r="76" spans="1:21" x14ac:dyDescent="0.3">
      <c r="A76" s="52"/>
      <c r="B76" s="52"/>
      <c r="C76" s="52"/>
      <c r="D76" s="54"/>
      <c r="E76" s="54"/>
      <c r="F76" s="54"/>
      <c r="G76" s="54" t="s">
        <v>60</v>
      </c>
      <c r="H76" s="58">
        <f>I76*T76</f>
        <v>0</v>
      </c>
      <c r="I76" s="89">
        <v>0.3</v>
      </c>
      <c r="J76" s="58">
        <f>K76*T76</f>
        <v>0</v>
      </c>
      <c r="K76" s="89">
        <v>0.35</v>
      </c>
      <c r="L76" s="58">
        <f>M76*T76</f>
        <v>0</v>
      </c>
      <c r="M76" s="89">
        <v>0.05</v>
      </c>
      <c r="N76" s="58">
        <f>O76*T76</f>
        <v>0</v>
      </c>
      <c r="O76" s="89">
        <v>0.3</v>
      </c>
      <c r="P76" s="58">
        <f>Q76*T76</f>
        <v>0</v>
      </c>
      <c r="Q76" s="89"/>
      <c r="R76" s="89">
        <f t="shared" si="10"/>
        <v>1</v>
      </c>
      <c r="S76" s="55">
        <f t="shared" si="9"/>
        <v>0</v>
      </c>
      <c r="T76" s="179">
        <v>0</v>
      </c>
      <c r="U76" s="99"/>
    </row>
    <row r="77" spans="1:21" x14ac:dyDescent="0.3">
      <c r="A77" s="52"/>
      <c r="B77" s="52"/>
      <c r="C77" s="52"/>
      <c r="D77" s="54"/>
      <c r="E77" s="54"/>
      <c r="F77" s="54"/>
      <c r="G77" s="54" t="s">
        <v>159</v>
      </c>
      <c r="H77" s="58"/>
      <c r="I77" s="89"/>
      <c r="J77" s="58"/>
      <c r="K77" s="89"/>
      <c r="L77" s="58"/>
      <c r="M77" s="89"/>
      <c r="N77" s="58">
        <f>T77*O77</f>
        <v>3500</v>
      </c>
      <c r="O77" s="89">
        <v>1</v>
      </c>
      <c r="P77" s="58"/>
      <c r="Q77" s="89"/>
      <c r="R77" s="89"/>
      <c r="S77" s="55">
        <f t="shared" si="9"/>
        <v>3500</v>
      </c>
      <c r="T77" s="179">
        <v>3500</v>
      </c>
      <c r="U77" s="99"/>
    </row>
    <row r="78" spans="1:21" x14ac:dyDescent="0.3">
      <c r="A78" s="52"/>
      <c r="B78" s="52"/>
      <c r="C78" s="52"/>
      <c r="D78" s="54"/>
      <c r="E78" s="54"/>
      <c r="F78" s="54"/>
      <c r="G78" s="54" t="s">
        <v>130</v>
      </c>
      <c r="H78" s="58">
        <f>I78*T78</f>
        <v>0</v>
      </c>
      <c r="I78" s="89"/>
      <c r="J78" s="58">
        <f>K78*T78</f>
        <v>0</v>
      </c>
      <c r="K78" s="89"/>
      <c r="L78" s="58">
        <f>M78*T78</f>
        <v>0</v>
      </c>
      <c r="M78" s="89">
        <v>1</v>
      </c>
      <c r="N78" s="58">
        <f>O78*T78</f>
        <v>0</v>
      </c>
      <c r="O78" s="89"/>
      <c r="P78" s="58">
        <f>Q78*T78</f>
        <v>0</v>
      </c>
      <c r="Q78" s="89"/>
      <c r="R78" s="89">
        <f t="shared" si="10"/>
        <v>1</v>
      </c>
      <c r="S78" s="55">
        <f t="shared" si="9"/>
        <v>0</v>
      </c>
      <c r="T78" s="179">
        <v>0</v>
      </c>
      <c r="U78" s="99"/>
    </row>
    <row r="79" spans="1:21" x14ac:dyDescent="0.3">
      <c r="A79" s="52"/>
      <c r="B79" s="52"/>
      <c r="C79" s="52"/>
      <c r="D79" s="54"/>
      <c r="E79" s="54"/>
      <c r="F79" s="54"/>
      <c r="G79" s="54" t="s">
        <v>61</v>
      </c>
      <c r="H79" s="58">
        <f>I79*T79</f>
        <v>2375</v>
      </c>
      <c r="I79" s="89">
        <v>0.25</v>
      </c>
      <c r="J79" s="58">
        <f>K79*T79</f>
        <v>4750</v>
      </c>
      <c r="K79" s="89">
        <v>0.5</v>
      </c>
      <c r="L79" s="58">
        <f>M79*T79</f>
        <v>475</v>
      </c>
      <c r="M79" s="89">
        <v>0.05</v>
      </c>
      <c r="N79" s="58">
        <f>O79*T79</f>
        <v>1900</v>
      </c>
      <c r="O79" s="89">
        <v>0.2</v>
      </c>
      <c r="P79" s="58">
        <f>Q79*T79</f>
        <v>0</v>
      </c>
      <c r="Q79" s="89"/>
      <c r="R79" s="89">
        <f t="shared" si="10"/>
        <v>1</v>
      </c>
      <c r="S79" s="55">
        <f t="shared" si="9"/>
        <v>9500</v>
      </c>
      <c r="T79" s="179">
        <v>9500</v>
      </c>
      <c r="U79" s="99"/>
    </row>
    <row r="80" spans="1:21" x14ac:dyDescent="0.3">
      <c r="A80" s="52"/>
      <c r="B80" s="52"/>
      <c r="C80" s="52"/>
      <c r="D80" s="54"/>
      <c r="E80" s="54"/>
      <c r="F80" s="69" t="s">
        <v>62</v>
      </c>
      <c r="G80" s="69"/>
      <c r="H80" s="70"/>
      <c r="I80" s="94"/>
      <c r="J80" s="70"/>
      <c r="K80" s="94"/>
      <c r="L80" s="70"/>
      <c r="M80" s="94"/>
      <c r="N80" s="70"/>
      <c r="O80" s="94"/>
      <c r="P80" s="70"/>
      <c r="Q80" s="94"/>
      <c r="R80" s="94"/>
      <c r="S80" s="71"/>
      <c r="T80" s="188"/>
      <c r="U80" s="102">
        <f>SUM(T76:T79)</f>
        <v>13000</v>
      </c>
    </row>
    <row r="81" spans="1:21" x14ac:dyDescent="0.3">
      <c r="A81" s="52"/>
      <c r="B81" s="52"/>
      <c r="C81" s="52"/>
      <c r="D81" s="54"/>
      <c r="E81" s="54"/>
      <c r="F81" s="69" t="s">
        <v>63</v>
      </c>
      <c r="G81" s="69"/>
      <c r="H81" s="70"/>
      <c r="I81" s="94"/>
      <c r="J81" s="70"/>
      <c r="K81" s="94"/>
      <c r="L81" s="70"/>
      <c r="M81" s="94"/>
      <c r="N81" s="70"/>
      <c r="O81" s="94"/>
      <c r="P81" s="70"/>
      <c r="Q81" s="94"/>
      <c r="R81" s="94"/>
      <c r="S81" s="71"/>
      <c r="T81" s="188"/>
      <c r="U81" s="99"/>
    </row>
    <row r="82" spans="1:21" x14ac:dyDescent="0.3">
      <c r="A82" s="52"/>
      <c r="B82" s="52"/>
      <c r="C82" s="52"/>
      <c r="D82" s="54"/>
      <c r="E82" s="54"/>
      <c r="F82" s="54"/>
      <c r="G82" s="54" t="s">
        <v>162</v>
      </c>
      <c r="H82" s="58">
        <f>I82*T82</f>
        <v>54105.599999999999</v>
      </c>
      <c r="I82" s="89">
        <v>0.24</v>
      </c>
      <c r="J82" s="58">
        <f>K82*T82</f>
        <v>54105.599999999999</v>
      </c>
      <c r="K82" s="89">
        <v>0.24</v>
      </c>
      <c r="L82" s="58">
        <f>M82*T82</f>
        <v>38324.800000000003</v>
      </c>
      <c r="M82" s="89">
        <v>0.17</v>
      </c>
      <c r="N82" s="58">
        <f>O82*T82</f>
        <v>22544</v>
      </c>
      <c r="O82" s="89">
        <v>0.1</v>
      </c>
      <c r="P82" s="58">
        <f>Q82*T82</f>
        <v>56360</v>
      </c>
      <c r="Q82" s="89">
        <v>0.25</v>
      </c>
      <c r="R82" s="89">
        <f t="shared" si="10"/>
        <v>1</v>
      </c>
      <c r="S82" s="55">
        <f>H82+J82+L82+N82+P82</f>
        <v>225440</v>
      </c>
      <c r="T82" s="179">
        <v>225440</v>
      </c>
      <c r="U82" s="99"/>
    </row>
    <row r="83" spans="1:21" x14ac:dyDescent="0.3">
      <c r="D83" s="54"/>
      <c r="E83" s="54"/>
      <c r="F83" s="54"/>
      <c r="G83" s="54" t="s">
        <v>56</v>
      </c>
      <c r="H83" s="58">
        <f>I83*T83</f>
        <v>0</v>
      </c>
      <c r="I83" s="89"/>
      <c r="J83" s="58">
        <f>K83*T83</f>
        <v>0</v>
      </c>
      <c r="K83" s="89"/>
      <c r="L83" s="58">
        <f>M83*T83</f>
        <v>130</v>
      </c>
      <c r="M83" s="89">
        <v>1</v>
      </c>
      <c r="N83" s="58">
        <f>O83*T83</f>
        <v>0</v>
      </c>
      <c r="O83" s="89"/>
      <c r="P83" s="58">
        <f>Q83*T83</f>
        <v>0</v>
      </c>
      <c r="Q83" s="89"/>
      <c r="R83" s="89">
        <f>Q83+O83+M83+K83+I83</f>
        <v>1</v>
      </c>
      <c r="S83" s="55">
        <f>H83+J83+L83+N83+P83</f>
        <v>130</v>
      </c>
      <c r="T83" s="179">
        <v>130</v>
      </c>
      <c r="U83" s="99"/>
    </row>
    <row r="84" spans="1:21" x14ac:dyDescent="0.3">
      <c r="A84" s="52"/>
      <c r="B84" s="52"/>
      <c r="C84" s="52"/>
      <c r="D84" s="73"/>
      <c r="E84" s="73"/>
      <c r="F84" s="73" t="s">
        <v>115</v>
      </c>
      <c r="G84" s="73"/>
      <c r="H84" s="58">
        <f>I84*T84</f>
        <v>21.599999999999998</v>
      </c>
      <c r="I84" s="89">
        <v>0.3</v>
      </c>
      <c r="J84" s="58">
        <f>K84*T84</f>
        <v>25.2</v>
      </c>
      <c r="K84" s="89">
        <v>0.35</v>
      </c>
      <c r="L84" s="58">
        <f>M84*T84</f>
        <v>3.6</v>
      </c>
      <c r="M84" s="89">
        <v>0.05</v>
      </c>
      <c r="N84" s="58">
        <f>O84*T84</f>
        <v>21.599999999999998</v>
      </c>
      <c r="O84" s="89">
        <v>0.3</v>
      </c>
      <c r="P84" s="58">
        <f>Q84*T84</f>
        <v>0</v>
      </c>
      <c r="Q84" s="89"/>
      <c r="R84" s="89">
        <f>Q84+O84+M84+K84+I84</f>
        <v>1</v>
      </c>
      <c r="S84" s="55">
        <f>H84+J84+L84+N84+P84</f>
        <v>72</v>
      </c>
      <c r="T84" s="179">
        <v>72</v>
      </c>
      <c r="U84" s="99"/>
    </row>
    <row r="85" spans="1:21" x14ac:dyDescent="0.3">
      <c r="A85" s="52"/>
      <c r="B85" s="52"/>
      <c r="C85" s="52"/>
      <c r="D85" s="54"/>
      <c r="E85" s="54"/>
      <c r="F85" s="54"/>
      <c r="G85" s="54" t="s">
        <v>65</v>
      </c>
      <c r="H85" s="58">
        <f>I85*T85</f>
        <v>4208.6399999999994</v>
      </c>
      <c r="I85" s="89">
        <v>0.24</v>
      </c>
      <c r="J85" s="58">
        <f>K85*T85</f>
        <v>4208.6399999999994</v>
      </c>
      <c r="K85" s="89">
        <v>0.24</v>
      </c>
      <c r="L85" s="58">
        <f>M85*T85</f>
        <v>2981.1200000000003</v>
      </c>
      <c r="M85" s="89">
        <v>0.17</v>
      </c>
      <c r="N85" s="58">
        <f>O85*T85</f>
        <v>1753.6000000000001</v>
      </c>
      <c r="O85" s="89">
        <v>0.1</v>
      </c>
      <c r="P85" s="58">
        <f>Q85*T85</f>
        <v>4384</v>
      </c>
      <c r="Q85" s="89">
        <v>0.25</v>
      </c>
      <c r="R85" s="89">
        <f t="shared" si="10"/>
        <v>1</v>
      </c>
      <c r="S85" s="55">
        <f t="shared" si="9"/>
        <v>17536</v>
      </c>
      <c r="T85" s="179">
        <v>17536</v>
      </c>
      <c r="U85" s="99"/>
    </row>
    <row r="86" spans="1:21" ht="13.5" thickBot="1" x14ac:dyDescent="0.35">
      <c r="A86" s="52"/>
      <c r="B86" s="52"/>
      <c r="C86" s="52"/>
      <c r="D86" s="54"/>
      <c r="E86" s="105"/>
      <c r="F86" s="106" t="s">
        <v>66</v>
      </c>
      <c r="G86" s="106"/>
      <c r="H86" s="145"/>
      <c r="I86" s="146"/>
      <c r="J86" s="145"/>
      <c r="K86" s="146"/>
      <c r="L86" s="145"/>
      <c r="M86" s="146"/>
      <c r="N86" s="145"/>
      <c r="O86" s="146"/>
      <c r="P86" s="145"/>
      <c r="Q86" s="146"/>
      <c r="R86" s="146"/>
      <c r="S86" s="147"/>
      <c r="T86" s="194"/>
      <c r="U86" s="129"/>
    </row>
    <row r="87" spans="1:21" ht="13.5" thickBot="1" x14ac:dyDescent="0.35">
      <c r="A87" s="52"/>
      <c r="B87" s="52"/>
      <c r="C87" s="52"/>
      <c r="D87" s="104"/>
      <c r="E87" s="118" t="s">
        <v>67</v>
      </c>
      <c r="F87" s="119"/>
      <c r="G87" s="119"/>
      <c r="H87" s="120"/>
      <c r="I87" s="121"/>
      <c r="J87" s="120"/>
      <c r="K87" s="121"/>
      <c r="L87" s="120"/>
      <c r="M87" s="121"/>
      <c r="N87" s="120"/>
      <c r="O87" s="121"/>
      <c r="P87" s="120"/>
      <c r="Q87" s="121"/>
      <c r="R87" s="121"/>
      <c r="S87" s="123"/>
      <c r="T87" s="182"/>
      <c r="U87" s="124">
        <f>SUM(T76:T86)</f>
        <v>256178</v>
      </c>
    </row>
    <row r="88" spans="1:21" x14ac:dyDescent="0.3">
      <c r="A88" s="52"/>
      <c r="B88" s="52"/>
      <c r="C88" s="52"/>
      <c r="D88" s="54"/>
      <c r="E88" s="134" t="s">
        <v>68</v>
      </c>
      <c r="F88" s="134"/>
      <c r="G88" s="134"/>
      <c r="H88" s="135"/>
      <c r="I88" s="136"/>
      <c r="J88" s="135"/>
      <c r="K88" s="136"/>
      <c r="L88" s="135"/>
      <c r="M88" s="136"/>
      <c r="N88" s="135"/>
      <c r="O88" s="136"/>
      <c r="P88" s="135"/>
      <c r="Q88" s="136"/>
      <c r="R88" s="136"/>
      <c r="S88" s="137"/>
      <c r="T88" s="189"/>
      <c r="U88" s="103"/>
    </row>
    <row r="89" spans="1:21" x14ac:dyDescent="0.3">
      <c r="A89" s="52"/>
      <c r="B89" s="52"/>
      <c r="C89" s="52"/>
      <c r="D89" s="54"/>
      <c r="E89" s="140"/>
      <c r="F89" s="140" t="s">
        <v>155</v>
      </c>
      <c r="G89" s="140"/>
      <c r="H89" s="58">
        <f t="shared" ref="H89:H95" si="17">I89*T89</f>
        <v>125</v>
      </c>
      <c r="I89" s="142">
        <v>0.25</v>
      </c>
      <c r="J89" s="58">
        <f t="shared" ref="J89:J95" si="18">K89*T89</f>
        <v>250</v>
      </c>
      <c r="K89" s="142">
        <v>0.5</v>
      </c>
      <c r="L89" s="58">
        <f t="shared" ref="L89:L95" si="19">M89*T89</f>
        <v>0</v>
      </c>
      <c r="M89" s="142"/>
      <c r="N89" s="58">
        <f t="shared" ref="N89:N95" si="20">O89*T89</f>
        <v>125</v>
      </c>
      <c r="O89" s="142">
        <v>0.25</v>
      </c>
      <c r="P89" s="58">
        <f t="shared" ref="P89:P95" si="21">Q89*T89</f>
        <v>0</v>
      </c>
      <c r="Q89" s="142"/>
      <c r="R89" s="89">
        <f t="shared" si="10"/>
        <v>1</v>
      </c>
      <c r="S89" s="55">
        <f t="shared" si="9"/>
        <v>500</v>
      </c>
      <c r="T89" s="193">
        <v>500</v>
      </c>
      <c r="U89" s="103"/>
    </row>
    <row r="90" spans="1:21" x14ac:dyDescent="0.3">
      <c r="A90" s="52"/>
      <c r="B90" s="52"/>
      <c r="C90" s="52"/>
      <c r="D90" s="54"/>
      <c r="E90" s="54"/>
      <c r="F90" s="54" t="s">
        <v>69</v>
      </c>
      <c r="G90" s="54"/>
      <c r="H90" s="58">
        <f t="shared" si="17"/>
        <v>5.5</v>
      </c>
      <c r="I90" s="89">
        <v>0.25</v>
      </c>
      <c r="J90" s="58">
        <f t="shared" si="18"/>
        <v>11</v>
      </c>
      <c r="K90" s="89">
        <v>0.5</v>
      </c>
      <c r="L90" s="58">
        <f t="shared" si="19"/>
        <v>0</v>
      </c>
      <c r="M90" s="89"/>
      <c r="N90" s="58">
        <f t="shared" si="20"/>
        <v>5.5</v>
      </c>
      <c r="O90" s="89">
        <v>0.25</v>
      </c>
      <c r="P90" s="58">
        <f t="shared" si="21"/>
        <v>0</v>
      </c>
      <c r="Q90" s="89"/>
      <c r="R90" s="89">
        <f t="shared" si="10"/>
        <v>1</v>
      </c>
      <c r="S90" s="55">
        <f t="shared" si="9"/>
        <v>22</v>
      </c>
      <c r="T90" s="179">
        <v>22</v>
      </c>
      <c r="U90" s="99"/>
    </row>
    <row r="91" spans="1:21" x14ac:dyDescent="0.3">
      <c r="A91" s="52"/>
      <c r="B91" s="52"/>
      <c r="C91" s="52"/>
      <c r="D91" s="54"/>
      <c r="E91" s="54"/>
      <c r="F91" s="54" t="s">
        <v>70</v>
      </c>
      <c r="G91" s="54"/>
      <c r="H91" s="58">
        <f t="shared" si="17"/>
        <v>75</v>
      </c>
      <c r="I91" s="89">
        <v>0.25</v>
      </c>
      <c r="J91" s="58">
        <f t="shared" si="18"/>
        <v>75</v>
      </c>
      <c r="K91" s="89">
        <v>0.25</v>
      </c>
      <c r="L91" s="58">
        <f t="shared" si="19"/>
        <v>150</v>
      </c>
      <c r="M91" s="89">
        <v>0.5</v>
      </c>
      <c r="N91" s="58">
        <f t="shared" si="20"/>
        <v>0</v>
      </c>
      <c r="O91" s="89"/>
      <c r="P91" s="58">
        <f t="shared" si="21"/>
        <v>0</v>
      </c>
      <c r="Q91" s="89"/>
      <c r="R91" s="89">
        <f t="shared" si="10"/>
        <v>1</v>
      </c>
      <c r="S91" s="55">
        <f t="shared" si="9"/>
        <v>300</v>
      </c>
      <c r="T91" s="179">
        <v>300</v>
      </c>
      <c r="U91" s="99"/>
    </row>
    <row r="92" spans="1:21" x14ac:dyDescent="0.3">
      <c r="A92" s="52"/>
      <c r="B92" s="52"/>
      <c r="C92" s="52"/>
      <c r="D92" s="54"/>
      <c r="E92" s="54"/>
      <c r="F92" s="54" t="s">
        <v>170</v>
      </c>
      <c r="G92" s="54"/>
      <c r="H92" s="58">
        <f t="shared" si="17"/>
        <v>0</v>
      </c>
      <c r="I92" s="89"/>
      <c r="J92" s="58">
        <f t="shared" si="18"/>
        <v>300</v>
      </c>
      <c r="K92" s="89">
        <v>1</v>
      </c>
      <c r="L92" s="58">
        <f t="shared" si="19"/>
        <v>0</v>
      </c>
      <c r="M92" s="89"/>
      <c r="N92" s="58">
        <f t="shared" si="20"/>
        <v>0</v>
      </c>
      <c r="O92" s="89"/>
      <c r="P92" s="58">
        <f t="shared" si="21"/>
        <v>0</v>
      </c>
      <c r="Q92" s="89"/>
      <c r="R92" s="89">
        <f t="shared" si="10"/>
        <v>1</v>
      </c>
      <c r="S92" s="55">
        <f t="shared" si="9"/>
        <v>300</v>
      </c>
      <c r="T92" s="179">
        <v>300</v>
      </c>
      <c r="U92" s="99"/>
    </row>
    <row r="93" spans="1:21" ht="12" customHeight="1" x14ac:dyDescent="0.3">
      <c r="A93" s="52"/>
      <c r="B93" s="52"/>
      <c r="C93" s="52"/>
      <c r="D93" s="54"/>
      <c r="E93" s="54"/>
      <c r="F93" s="54" t="s">
        <v>171</v>
      </c>
      <c r="G93" s="54"/>
      <c r="H93" s="58">
        <f t="shared" si="17"/>
        <v>300</v>
      </c>
      <c r="I93" s="89">
        <v>1</v>
      </c>
      <c r="J93" s="58">
        <f t="shared" si="18"/>
        <v>0</v>
      </c>
      <c r="K93" s="89"/>
      <c r="L93" s="58">
        <f t="shared" si="19"/>
        <v>0</v>
      </c>
      <c r="M93" s="89"/>
      <c r="N93" s="58">
        <f t="shared" si="20"/>
        <v>0</v>
      </c>
      <c r="O93" s="89"/>
      <c r="P93" s="58">
        <f t="shared" si="21"/>
        <v>0</v>
      </c>
      <c r="Q93" s="89"/>
      <c r="R93" s="89">
        <f t="shared" si="10"/>
        <v>1</v>
      </c>
      <c r="S93" s="55">
        <f t="shared" si="9"/>
        <v>300</v>
      </c>
      <c r="T93" s="179">
        <v>300</v>
      </c>
      <c r="U93" s="99"/>
    </row>
    <row r="94" spans="1:21" x14ac:dyDescent="0.3">
      <c r="A94" s="52"/>
      <c r="B94" s="52"/>
      <c r="C94" s="52"/>
      <c r="D94" s="54"/>
      <c r="E94" s="105"/>
      <c r="F94" s="105" t="s">
        <v>168</v>
      </c>
      <c r="G94" s="105"/>
      <c r="H94" s="125">
        <f t="shared" si="17"/>
        <v>375</v>
      </c>
      <c r="I94" s="126">
        <v>0.25</v>
      </c>
      <c r="J94" s="125">
        <f t="shared" si="18"/>
        <v>600</v>
      </c>
      <c r="K94" s="126">
        <v>0.4</v>
      </c>
      <c r="L94" s="125">
        <f t="shared" si="19"/>
        <v>525</v>
      </c>
      <c r="M94" s="126">
        <v>0.35</v>
      </c>
      <c r="N94" s="125">
        <f t="shared" si="20"/>
        <v>0</v>
      </c>
      <c r="O94" s="126"/>
      <c r="P94" s="125">
        <f t="shared" si="21"/>
        <v>0</v>
      </c>
      <c r="Q94" s="126"/>
      <c r="R94" s="126">
        <f>Q94+O94+M94+K94+I94</f>
        <v>1</v>
      </c>
      <c r="S94" s="128">
        <f>H94+J94+L94+N94+P94</f>
        <v>1500</v>
      </c>
      <c r="T94" s="184">
        <v>1500</v>
      </c>
      <c r="U94" s="129"/>
    </row>
    <row r="95" spans="1:21" ht="13.5" thickBot="1" x14ac:dyDescent="0.35">
      <c r="A95" s="52"/>
      <c r="B95" s="52"/>
      <c r="C95" s="52"/>
      <c r="D95" s="54"/>
      <c r="E95" s="105"/>
      <c r="F95" s="105" t="s">
        <v>71</v>
      </c>
      <c r="G95" s="105"/>
      <c r="H95" s="125">
        <f t="shared" si="17"/>
        <v>1250</v>
      </c>
      <c r="I95" s="126">
        <v>0.25</v>
      </c>
      <c r="J95" s="125">
        <f t="shared" si="18"/>
        <v>2000</v>
      </c>
      <c r="K95" s="126">
        <v>0.4</v>
      </c>
      <c r="L95" s="125">
        <f t="shared" si="19"/>
        <v>1750</v>
      </c>
      <c r="M95" s="126">
        <v>0.35</v>
      </c>
      <c r="N95" s="125">
        <f t="shared" si="20"/>
        <v>0</v>
      </c>
      <c r="O95" s="126"/>
      <c r="P95" s="125">
        <f t="shared" si="21"/>
        <v>0</v>
      </c>
      <c r="Q95" s="126"/>
      <c r="R95" s="126">
        <f>Q95+O95+M95+K95+I95</f>
        <v>1</v>
      </c>
      <c r="S95" s="128">
        <f>H95+J95+L95+N95+P95</f>
        <v>5000</v>
      </c>
      <c r="T95" s="184">
        <v>5000</v>
      </c>
      <c r="U95" s="129"/>
    </row>
    <row r="96" spans="1:21" ht="13.5" thickBot="1" x14ac:dyDescent="0.35">
      <c r="A96" s="52"/>
      <c r="B96" s="52"/>
      <c r="C96" s="52"/>
      <c r="D96" s="104"/>
      <c r="E96" s="118" t="s">
        <v>72</v>
      </c>
      <c r="F96" s="119"/>
      <c r="G96" s="119"/>
      <c r="H96" s="120"/>
      <c r="I96" s="121"/>
      <c r="J96" s="120"/>
      <c r="K96" s="121"/>
      <c r="L96" s="120"/>
      <c r="M96" s="121"/>
      <c r="N96" s="120"/>
      <c r="O96" s="121"/>
      <c r="P96" s="120"/>
      <c r="Q96" s="121"/>
      <c r="R96" s="121"/>
      <c r="S96" s="123"/>
      <c r="T96" s="182"/>
      <c r="U96" s="124">
        <f>SUM(T89:T96)</f>
        <v>7922</v>
      </c>
    </row>
    <row r="97" spans="1:21" x14ac:dyDescent="0.3">
      <c r="A97" s="52"/>
      <c r="B97" s="52"/>
      <c r="C97" s="52"/>
      <c r="D97" s="54"/>
      <c r="E97" s="134" t="s">
        <v>73</v>
      </c>
      <c r="F97" s="134"/>
      <c r="G97" s="134"/>
      <c r="H97" s="135"/>
      <c r="I97" s="136"/>
      <c r="J97" s="135"/>
      <c r="K97" s="136"/>
      <c r="L97" s="135"/>
      <c r="M97" s="136"/>
      <c r="N97" s="135"/>
      <c r="O97" s="136"/>
      <c r="P97" s="135"/>
      <c r="Q97" s="136"/>
      <c r="R97" s="136"/>
      <c r="S97" s="137"/>
      <c r="T97" s="189"/>
      <c r="U97" s="103"/>
    </row>
    <row r="98" spans="1:21" x14ac:dyDescent="0.3">
      <c r="A98" s="52"/>
      <c r="B98" s="52"/>
      <c r="C98" s="52"/>
      <c r="D98" s="54"/>
      <c r="E98" s="54"/>
      <c r="F98" s="54" t="s">
        <v>74</v>
      </c>
      <c r="G98" s="54"/>
      <c r="H98" s="58">
        <f>I98*T98</f>
        <v>400</v>
      </c>
      <c r="I98" s="89">
        <v>0.4</v>
      </c>
      <c r="J98" s="58">
        <f>K98*T98</f>
        <v>200</v>
      </c>
      <c r="K98" s="89">
        <v>0.2</v>
      </c>
      <c r="L98" s="58">
        <f>M98*T98</f>
        <v>200</v>
      </c>
      <c r="M98" s="89">
        <v>0.2</v>
      </c>
      <c r="N98" s="58">
        <f>O98*T98</f>
        <v>200</v>
      </c>
      <c r="O98" s="89">
        <v>0.2</v>
      </c>
      <c r="P98" s="58">
        <f>Q98*T98</f>
        <v>0</v>
      </c>
      <c r="Q98" s="89"/>
      <c r="R98" s="89">
        <f t="shared" si="10"/>
        <v>1</v>
      </c>
      <c r="S98" s="55">
        <f t="shared" si="9"/>
        <v>1000</v>
      </c>
      <c r="T98" s="179">
        <v>1000</v>
      </c>
      <c r="U98" s="99"/>
    </row>
    <row r="99" spans="1:21" ht="13.5" thickBot="1" x14ac:dyDescent="0.35">
      <c r="A99" s="52"/>
      <c r="B99" s="52"/>
      <c r="C99" s="52"/>
      <c r="D99" s="54"/>
      <c r="E99" s="105"/>
      <c r="F99" s="105" t="s">
        <v>75</v>
      </c>
      <c r="G99" s="105"/>
      <c r="H99" s="125">
        <f>I99*T99</f>
        <v>80</v>
      </c>
      <c r="I99" s="126">
        <v>0.4</v>
      </c>
      <c r="J99" s="125">
        <f>K99*T99</f>
        <v>60</v>
      </c>
      <c r="K99" s="126">
        <v>0.3</v>
      </c>
      <c r="L99" s="125">
        <f>M99*T99</f>
        <v>0</v>
      </c>
      <c r="M99" s="126"/>
      <c r="N99" s="125">
        <f>O99*T99</f>
        <v>60</v>
      </c>
      <c r="O99" s="126">
        <v>0.3</v>
      </c>
      <c r="P99" s="125">
        <f>Q99*T99</f>
        <v>0</v>
      </c>
      <c r="Q99" s="126"/>
      <c r="R99" s="126">
        <f t="shared" si="10"/>
        <v>1</v>
      </c>
      <c r="S99" s="128">
        <f t="shared" si="9"/>
        <v>200</v>
      </c>
      <c r="T99" s="184">
        <v>200</v>
      </c>
      <c r="U99" s="129"/>
    </row>
    <row r="100" spans="1:21" ht="13.5" thickBot="1" x14ac:dyDescent="0.35">
      <c r="A100" s="52"/>
      <c r="B100" s="52"/>
      <c r="C100" s="52"/>
      <c r="D100" s="104"/>
      <c r="E100" s="118" t="s">
        <v>76</v>
      </c>
      <c r="F100" s="119"/>
      <c r="G100" s="119"/>
      <c r="H100" s="120"/>
      <c r="I100" s="121"/>
      <c r="J100" s="120"/>
      <c r="K100" s="121"/>
      <c r="L100" s="120"/>
      <c r="M100" s="121"/>
      <c r="N100" s="120"/>
      <c r="O100" s="121"/>
      <c r="P100" s="120"/>
      <c r="Q100" s="121"/>
      <c r="R100" s="121"/>
      <c r="S100" s="123"/>
      <c r="T100" s="182"/>
      <c r="U100" s="124">
        <f>SUM(T98:T100)</f>
        <v>1200</v>
      </c>
    </row>
    <row r="101" spans="1:21" x14ac:dyDescent="0.3">
      <c r="A101" s="52"/>
      <c r="B101" s="52"/>
      <c r="C101" s="52"/>
      <c r="D101" s="54"/>
      <c r="E101" s="112" t="s">
        <v>77</v>
      </c>
      <c r="F101" s="112"/>
      <c r="G101" s="112"/>
      <c r="H101" s="66">
        <f t="shared" ref="H101:H106" si="22">I101*T101</f>
        <v>0</v>
      </c>
      <c r="I101" s="138">
        <v>0.16250000000000001</v>
      </c>
      <c r="J101" s="66">
        <f t="shared" ref="J101:J106" si="23">K101*T101</f>
        <v>0</v>
      </c>
      <c r="K101" s="138">
        <v>0.16250000000000001</v>
      </c>
      <c r="L101" s="66">
        <f t="shared" ref="L101:L106" si="24">M101*T101</f>
        <v>0</v>
      </c>
      <c r="M101" s="138">
        <v>0.16250000000000001</v>
      </c>
      <c r="N101" s="66">
        <f t="shared" ref="N101:N106" si="25">O101*T101</f>
        <v>0</v>
      </c>
      <c r="O101" s="138">
        <v>0.16250000000000001</v>
      </c>
      <c r="P101" s="66">
        <f t="shared" ref="P101:P106" si="26">Q101*T101</f>
        <v>0</v>
      </c>
      <c r="Q101" s="138">
        <v>0.35</v>
      </c>
      <c r="R101" s="138">
        <f t="shared" si="10"/>
        <v>0.99999999999999989</v>
      </c>
      <c r="S101" s="83">
        <f t="shared" si="9"/>
        <v>0</v>
      </c>
      <c r="T101" s="192">
        <v>0</v>
      </c>
      <c r="U101" s="103"/>
    </row>
    <row r="102" spans="1:21" ht="19" customHeight="1" x14ac:dyDescent="0.3">
      <c r="A102" s="52"/>
      <c r="B102" s="52"/>
      <c r="C102" s="52"/>
      <c r="D102" s="54"/>
      <c r="E102" s="54" t="s">
        <v>78</v>
      </c>
      <c r="F102" s="54"/>
      <c r="G102" s="54"/>
      <c r="H102" s="58">
        <f t="shared" si="22"/>
        <v>400</v>
      </c>
      <c r="I102" s="89">
        <v>0.2</v>
      </c>
      <c r="J102" s="58">
        <f t="shared" si="23"/>
        <v>0</v>
      </c>
      <c r="K102" s="89"/>
      <c r="L102" s="58">
        <f t="shared" si="24"/>
        <v>1600</v>
      </c>
      <c r="M102" s="89">
        <v>0.8</v>
      </c>
      <c r="N102" s="58">
        <f t="shared" si="25"/>
        <v>0</v>
      </c>
      <c r="O102" s="89"/>
      <c r="P102" s="58">
        <f t="shared" si="26"/>
        <v>0</v>
      </c>
      <c r="Q102" s="89"/>
      <c r="R102" s="89">
        <f t="shared" si="10"/>
        <v>1</v>
      </c>
      <c r="S102" s="55">
        <f t="shared" si="9"/>
        <v>2000</v>
      </c>
      <c r="T102" s="179">
        <v>2000</v>
      </c>
      <c r="U102" s="99"/>
    </row>
    <row r="103" spans="1:21" x14ac:dyDescent="0.3">
      <c r="A103" s="52"/>
      <c r="B103" s="52"/>
      <c r="C103" s="52"/>
      <c r="D103" s="54"/>
      <c r="E103" s="69" t="s">
        <v>79</v>
      </c>
      <c r="F103" s="69"/>
      <c r="G103" s="69"/>
      <c r="H103" s="70">
        <f t="shared" si="22"/>
        <v>0</v>
      </c>
      <c r="I103" s="94"/>
      <c r="J103" s="70">
        <f t="shared" si="23"/>
        <v>0</v>
      </c>
      <c r="K103" s="94"/>
      <c r="L103" s="70">
        <f t="shared" si="24"/>
        <v>0</v>
      </c>
      <c r="M103" s="94"/>
      <c r="N103" s="70">
        <f t="shared" si="25"/>
        <v>0</v>
      </c>
      <c r="O103" s="94"/>
      <c r="P103" s="70">
        <f t="shared" si="26"/>
        <v>0</v>
      </c>
      <c r="Q103" s="94"/>
      <c r="R103" s="94"/>
      <c r="S103" s="71">
        <f t="shared" si="9"/>
        <v>0</v>
      </c>
      <c r="T103" s="188"/>
      <c r="U103" s="102"/>
    </row>
    <row r="104" spans="1:21" x14ac:dyDescent="0.3">
      <c r="A104" s="52"/>
      <c r="B104" s="52"/>
      <c r="C104" s="52"/>
      <c r="D104" s="54"/>
      <c r="E104" s="54"/>
      <c r="F104" s="54" t="s">
        <v>80</v>
      </c>
      <c r="G104" s="54"/>
      <c r="H104" s="58">
        <f t="shared" si="22"/>
        <v>0</v>
      </c>
      <c r="I104" s="89">
        <v>0.7</v>
      </c>
      <c r="J104" s="58">
        <f t="shared" si="23"/>
        <v>0</v>
      </c>
      <c r="K104" s="89">
        <v>0.1</v>
      </c>
      <c r="L104" s="58">
        <f t="shared" si="24"/>
        <v>0</v>
      </c>
      <c r="M104" s="89">
        <v>0.05</v>
      </c>
      <c r="N104" s="58">
        <f t="shared" si="25"/>
        <v>0</v>
      </c>
      <c r="O104" s="89">
        <v>0.15</v>
      </c>
      <c r="P104" s="58">
        <f t="shared" si="26"/>
        <v>0</v>
      </c>
      <c r="Q104" s="89"/>
      <c r="R104" s="89">
        <f t="shared" si="10"/>
        <v>1</v>
      </c>
      <c r="S104" s="55">
        <f t="shared" si="9"/>
        <v>0</v>
      </c>
      <c r="T104" s="179">
        <v>0</v>
      </c>
      <c r="U104" s="99"/>
    </row>
    <row r="105" spans="1:21" x14ac:dyDescent="0.3">
      <c r="A105" s="52"/>
      <c r="B105" s="52"/>
      <c r="C105" s="52"/>
      <c r="D105" s="54"/>
      <c r="E105" s="54"/>
      <c r="F105" s="54" t="s">
        <v>81</v>
      </c>
      <c r="G105" s="54"/>
      <c r="H105" s="58">
        <f t="shared" si="22"/>
        <v>0</v>
      </c>
      <c r="I105" s="89">
        <v>0.2</v>
      </c>
      <c r="J105" s="58">
        <f t="shared" si="23"/>
        <v>0</v>
      </c>
      <c r="K105" s="89">
        <v>0.3</v>
      </c>
      <c r="L105" s="58">
        <f t="shared" si="24"/>
        <v>0</v>
      </c>
      <c r="M105" s="89">
        <v>0.2</v>
      </c>
      <c r="N105" s="58">
        <f t="shared" si="25"/>
        <v>0</v>
      </c>
      <c r="O105" s="89">
        <v>0.3</v>
      </c>
      <c r="P105" s="58">
        <f t="shared" si="26"/>
        <v>0</v>
      </c>
      <c r="Q105" s="89"/>
      <c r="R105" s="89">
        <f t="shared" si="10"/>
        <v>1</v>
      </c>
      <c r="S105" s="55">
        <f t="shared" si="9"/>
        <v>0</v>
      </c>
      <c r="T105" s="179">
        <v>0</v>
      </c>
      <c r="U105" s="99"/>
    </row>
    <row r="106" spans="1:21" ht="13.5" thickBot="1" x14ac:dyDescent="0.35">
      <c r="A106" s="52"/>
      <c r="B106" s="52"/>
      <c r="C106" s="52"/>
      <c r="D106" s="54"/>
      <c r="E106" s="105"/>
      <c r="F106" s="105" t="s">
        <v>82</v>
      </c>
      <c r="G106" s="105"/>
      <c r="H106" s="125">
        <f t="shared" si="22"/>
        <v>2000</v>
      </c>
      <c r="I106" s="126">
        <v>0.4</v>
      </c>
      <c r="J106" s="125">
        <f t="shared" si="23"/>
        <v>1000</v>
      </c>
      <c r="K106" s="126">
        <v>0.2</v>
      </c>
      <c r="L106" s="125">
        <f t="shared" si="24"/>
        <v>1000</v>
      </c>
      <c r="M106" s="126">
        <v>0.2</v>
      </c>
      <c r="N106" s="125">
        <f t="shared" si="25"/>
        <v>1000</v>
      </c>
      <c r="O106" s="126">
        <v>0.2</v>
      </c>
      <c r="P106" s="125">
        <f t="shared" si="26"/>
        <v>0</v>
      </c>
      <c r="Q106" s="126"/>
      <c r="R106" s="126">
        <f t="shared" si="10"/>
        <v>1</v>
      </c>
      <c r="S106" s="128">
        <f t="shared" si="9"/>
        <v>5000</v>
      </c>
      <c r="T106" s="184">
        <v>5000</v>
      </c>
      <c r="U106" s="129"/>
    </row>
    <row r="107" spans="1:21" ht="13.5" thickBot="1" x14ac:dyDescent="0.35">
      <c r="A107" s="52"/>
      <c r="B107" s="52"/>
      <c r="C107" s="52"/>
      <c r="D107" s="104"/>
      <c r="E107" s="118" t="s">
        <v>83</v>
      </c>
      <c r="F107" s="119"/>
      <c r="G107" s="119"/>
      <c r="H107" s="120"/>
      <c r="I107" s="121"/>
      <c r="J107" s="120"/>
      <c r="K107" s="121"/>
      <c r="L107" s="120"/>
      <c r="M107" s="121"/>
      <c r="N107" s="120"/>
      <c r="O107" s="121"/>
      <c r="P107" s="120"/>
      <c r="Q107" s="121"/>
      <c r="R107" s="121"/>
      <c r="S107" s="123"/>
      <c r="T107" s="182"/>
      <c r="U107" s="124">
        <f>SUM(T103:T107)</f>
        <v>5000</v>
      </c>
    </row>
    <row r="108" spans="1:21" x14ac:dyDescent="0.3">
      <c r="A108" s="52"/>
      <c r="B108" s="52"/>
      <c r="C108" s="52"/>
      <c r="D108" s="54"/>
      <c r="E108" s="134" t="s">
        <v>84</v>
      </c>
      <c r="F108" s="134"/>
      <c r="G108" s="134"/>
      <c r="H108" s="135"/>
      <c r="I108" s="136"/>
      <c r="J108" s="135"/>
      <c r="K108" s="136"/>
      <c r="L108" s="135"/>
      <c r="M108" s="136"/>
      <c r="N108" s="135"/>
      <c r="O108" s="136"/>
      <c r="P108" s="135"/>
      <c r="Q108" s="136"/>
      <c r="R108" s="136"/>
      <c r="S108" s="137"/>
      <c r="T108" s="189"/>
      <c r="U108" s="103"/>
    </row>
    <row r="109" spans="1:21" x14ac:dyDescent="0.3">
      <c r="A109" s="52"/>
      <c r="B109" s="52"/>
      <c r="C109" s="52"/>
      <c r="D109" s="54"/>
      <c r="E109" s="54"/>
      <c r="F109" s="54" t="s">
        <v>85</v>
      </c>
      <c r="G109" s="54"/>
      <c r="H109" s="58">
        <f>I109*T109</f>
        <v>1000</v>
      </c>
      <c r="I109" s="89">
        <v>0.2</v>
      </c>
      <c r="J109" s="58">
        <f>K109*T109</f>
        <v>1250</v>
      </c>
      <c r="K109" s="89">
        <v>0.25</v>
      </c>
      <c r="L109" s="58">
        <f>M109*T109</f>
        <v>1000</v>
      </c>
      <c r="M109" s="89">
        <v>0.2</v>
      </c>
      <c r="N109" s="58">
        <f>O109*T109</f>
        <v>1250</v>
      </c>
      <c r="O109" s="89">
        <v>0.25</v>
      </c>
      <c r="P109" s="58">
        <f>Q109*T109</f>
        <v>500</v>
      </c>
      <c r="Q109" s="89">
        <v>0.1</v>
      </c>
      <c r="R109" s="89">
        <f t="shared" si="10"/>
        <v>1</v>
      </c>
      <c r="S109" s="55">
        <f t="shared" si="9"/>
        <v>5000</v>
      </c>
      <c r="T109" s="179">
        <v>5000</v>
      </c>
      <c r="U109" s="99"/>
    </row>
    <row r="110" spans="1:21" ht="13.5" thickBot="1" x14ac:dyDescent="0.35">
      <c r="A110" s="52"/>
      <c r="B110" s="52"/>
      <c r="C110" s="52"/>
      <c r="D110" s="54"/>
      <c r="E110" s="105"/>
      <c r="F110" s="105" t="s">
        <v>86</v>
      </c>
      <c r="G110" s="105"/>
      <c r="H110" s="125">
        <f>I110*T110</f>
        <v>0</v>
      </c>
      <c r="I110" s="126"/>
      <c r="J110" s="125">
        <f>K110*T110</f>
        <v>0</v>
      </c>
      <c r="K110" s="126"/>
      <c r="L110" s="125">
        <f>M110*T110</f>
        <v>0</v>
      </c>
      <c r="M110" s="126"/>
      <c r="N110" s="125">
        <f>O110*T110</f>
        <v>13000</v>
      </c>
      <c r="O110" s="126">
        <v>1</v>
      </c>
      <c r="P110" s="125">
        <f>Q110*T110</f>
        <v>0</v>
      </c>
      <c r="Q110" s="126"/>
      <c r="R110" s="126">
        <f t="shared" si="10"/>
        <v>1</v>
      </c>
      <c r="S110" s="128">
        <f t="shared" si="9"/>
        <v>13000</v>
      </c>
      <c r="T110" s="184">
        <v>13000</v>
      </c>
      <c r="U110" s="129"/>
    </row>
    <row r="111" spans="1:21" ht="13.5" thickBot="1" x14ac:dyDescent="0.35">
      <c r="A111" s="52"/>
      <c r="B111" s="52"/>
      <c r="C111" s="52"/>
      <c r="D111" s="104"/>
      <c r="E111" s="118" t="s">
        <v>87</v>
      </c>
      <c r="F111" s="119"/>
      <c r="G111" s="119"/>
      <c r="H111" s="120"/>
      <c r="I111" s="121"/>
      <c r="J111" s="120"/>
      <c r="K111" s="121"/>
      <c r="L111" s="120"/>
      <c r="M111" s="121"/>
      <c r="N111" s="120"/>
      <c r="O111" s="121"/>
      <c r="P111" s="120"/>
      <c r="Q111" s="121"/>
      <c r="R111" s="121"/>
      <c r="S111" s="123"/>
      <c r="T111" s="182"/>
      <c r="U111" s="124">
        <f>SUM(T109:T111)</f>
        <v>18000</v>
      </c>
    </row>
    <row r="112" spans="1:21" x14ac:dyDescent="0.3">
      <c r="A112" s="52"/>
      <c r="B112" s="52"/>
      <c r="C112" s="52"/>
      <c r="D112" s="54"/>
      <c r="E112" s="112" t="s">
        <v>88</v>
      </c>
      <c r="F112" s="112"/>
      <c r="G112" s="112"/>
      <c r="H112" s="66">
        <f>I112*T112</f>
        <v>0</v>
      </c>
      <c r="I112" s="138"/>
      <c r="J112" s="66">
        <f>K112*T112</f>
        <v>1000</v>
      </c>
      <c r="K112" s="138">
        <v>1</v>
      </c>
      <c r="L112" s="66">
        <f>M112*T112</f>
        <v>0</v>
      </c>
      <c r="M112" s="138"/>
      <c r="N112" s="66">
        <f>O112*T112</f>
        <v>0</v>
      </c>
      <c r="O112" s="138"/>
      <c r="P112" s="66">
        <f>Q112*T112</f>
        <v>0</v>
      </c>
      <c r="Q112" s="138"/>
      <c r="R112" s="138">
        <f t="shared" si="10"/>
        <v>1</v>
      </c>
      <c r="S112" s="83">
        <f t="shared" si="9"/>
        <v>1000</v>
      </c>
      <c r="T112" s="192">
        <v>1000</v>
      </c>
      <c r="U112" s="103"/>
    </row>
    <row r="113" spans="1:21" x14ac:dyDescent="0.3">
      <c r="A113" s="52"/>
      <c r="B113" s="52"/>
      <c r="C113" s="52"/>
      <c r="D113" s="54"/>
      <c r="E113" s="54" t="s">
        <v>89</v>
      </c>
      <c r="F113" s="54"/>
      <c r="G113" s="54"/>
      <c r="H113" s="58">
        <f>I113*T113</f>
        <v>100</v>
      </c>
      <c r="I113" s="89">
        <v>0.2</v>
      </c>
      <c r="J113" s="58">
        <f>K113*T113</f>
        <v>0</v>
      </c>
      <c r="K113" s="89"/>
      <c r="L113" s="58">
        <f>M113*T113</f>
        <v>400</v>
      </c>
      <c r="M113" s="89">
        <v>0.8</v>
      </c>
      <c r="N113" s="58">
        <f>O113*T113</f>
        <v>0</v>
      </c>
      <c r="O113" s="89"/>
      <c r="P113" s="58">
        <f>Q113*T113</f>
        <v>0</v>
      </c>
      <c r="Q113" s="89"/>
      <c r="R113" s="89">
        <f t="shared" si="10"/>
        <v>1</v>
      </c>
      <c r="S113" s="55">
        <f t="shared" si="9"/>
        <v>500</v>
      </c>
      <c r="T113" s="179">
        <v>500</v>
      </c>
      <c r="U113" s="99"/>
    </row>
    <row r="114" spans="1:21" x14ac:dyDescent="0.3">
      <c r="A114" s="52"/>
      <c r="B114" s="52"/>
      <c r="C114" s="52"/>
      <c r="D114" s="54"/>
      <c r="E114" s="54" t="s">
        <v>90</v>
      </c>
      <c r="F114" s="54"/>
      <c r="G114" s="54"/>
      <c r="H114" s="58">
        <f>I114*T114</f>
        <v>9000</v>
      </c>
      <c r="I114" s="89">
        <v>0.3</v>
      </c>
      <c r="J114" s="58">
        <f>K114*T114</f>
        <v>7500</v>
      </c>
      <c r="K114" s="89">
        <v>0.25</v>
      </c>
      <c r="L114" s="58">
        <f>M114*T114</f>
        <v>3000</v>
      </c>
      <c r="M114" s="89">
        <v>0.1</v>
      </c>
      <c r="N114" s="58">
        <f>O114*T114</f>
        <v>10500</v>
      </c>
      <c r="O114" s="89">
        <v>0.35</v>
      </c>
      <c r="P114" s="58">
        <f>Q114*T114</f>
        <v>0</v>
      </c>
      <c r="Q114" s="89"/>
      <c r="R114" s="89">
        <f t="shared" si="10"/>
        <v>1</v>
      </c>
      <c r="S114" s="55">
        <f t="shared" si="9"/>
        <v>30000</v>
      </c>
      <c r="T114" s="179">
        <v>30000</v>
      </c>
      <c r="U114" s="99"/>
    </row>
    <row r="115" spans="1:21" x14ac:dyDescent="0.3">
      <c r="A115" s="52"/>
      <c r="B115" s="52"/>
      <c r="C115" s="52"/>
      <c r="D115" s="54"/>
      <c r="E115" s="54" t="s">
        <v>91</v>
      </c>
      <c r="F115" s="54"/>
      <c r="G115" s="54"/>
      <c r="H115" s="58">
        <f>I115*T115</f>
        <v>100</v>
      </c>
      <c r="I115" s="89">
        <v>0.2</v>
      </c>
      <c r="J115" s="58">
        <f>K115*T115</f>
        <v>100</v>
      </c>
      <c r="K115" s="89">
        <v>0.2</v>
      </c>
      <c r="L115" s="58">
        <f>M115*T115</f>
        <v>100</v>
      </c>
      <c r="M115" s="89">
        <v>0.2</v>
      </c>
      <c r="N115" s="58">
        <f>O115*T115</f>
        <v>100</v>
      </c>
      <c r="O115" s="89">
        <v>0.2</v>
      </c>
      <c r="P115" s="58">
        <f>Q115*T115</f>
        <v>100</v>
      </c>
      <c r="Q115" s="89">
        <v>0.2</v>
      </c>
      <c r="R115" s="89">
        <f t="shared" si="10"/>
        <v>1</v>
      </c>
      <c r="S115" s="55">
        <f t="shared" si="9"/>
        <v>500</v>
      </c>
      <c r="T115" s="179">
        <v>500</v>
      </c>
      <c r="U115" s="99"/>
    </row>
    <row r="116" spans="1:21" x14ac:dyDescent="0.3">
      <c r="A116" s="52"/>
      <c r="B116" s="52"/>
      <c r="C116" s="52"/>
      <c r="D116" s="54"/>
      <c r="E116" s="105" t="s">
        <v>160</v>
      </c>
      <c r="F116" s="105"/>
      <c r="G116" s="105"/>
      <c r="H116" s="125"/>
      <c r="I116" s="126"/>
      <c r="J116" s="125"/>
      <c r="K116" s="126"/>
      <c r="L116" s="125">
        <f>M116*T116</f>
        <v>400</v>
      </c>
      <c r="M116" s="126">
        <v>1</v>
      </c>
      <c r="N116" s="125"/>
      <c r="O116" s="126"/>
      <c r="P116" s="125"/>
      <c r="Q116" s="126"/>
      <c r="R116" s="89">
        <f t="shared" si="10"/>
        <v>1</v>
      </c>
      <c r="S116" s="55">
        <f t="shared" si="9"/>
        <v>400</v>
      </c>
      <c r="T116" s="184">
        <v>400</v>
      </c>
      <c r="U116" s="99"/>
    </row>
    <row r="117" spans="1:21" ht="13.5" thickBot="1" x14ac:dyDescent="0.35">
      <c r="A117" s="158"/>
      <c r="B117" s="158"/>
      <c r="C117" s="158"/>
      <c r="D117" s="148" t="s">
        <v>92</v>
      </c>
      <c r="E117" s="150"/>
      <c r="F117" s="151"/>
      <c r="G117" s="151"/>
      <c r="H117" s="152">
        <f>SUM(H39:H116)</f>
        <v>108013.84000000001</v>
      </c>
      <c r="I117" s="153"/>
      <c r="J117" s="152">
        <f>SUM(J39:J116)</f>
        <v>82882.94</v>
      </c>
      <c r="K117" s="153"/>
      <c r="L117" s="152">
        <f>SUM(L39:L116)</f>
        <v>55487.020000000004</v>
      </c>
      <c r="M117" s="153"/>
      <c r="N117" s="152">
        <f>SUM(N39:N116)</f>
        <v>233664.95</v>
      </c>
      <c r="O117" s="153"/>
      <c r="P117" s="152">
        <f>SUM(P39:P116)</f>
        <v>73044</v>
      </c>
      <c r="Q117" s="153"/>
      <c r="R117" s="153"/>
      <c r="S117" s="151">
        <f>H117+J117+L117+N117+P117</f>
        <v>553092.75</v>
      </c>
      <c r="T117" s="195">
        <f>SUM(T39:T116)</f>
        <v>553092.75</v>
      </c>
      <c r="U117" s="206"/>
    </row>
    <row r="118" spans="1:21" ht="14" x14ac:dyDescent="0.4">
      <c r="A118" s="74"/>
      <c r="B118" s="74" t="s">
        <v>93</v>
      </c>
      <c r="C118" s="77"/>
      <c r="D118" s="74"/>
      <c r="E118" s="74"/>
      <c r="F118" s="74"/>
      <c r="G118" s="74"/>
      <c r="H118" s="75">
        <f>(H37-H117)</f>
        <v>-19938.240000000005</v>
      </c>
      <c r="I118" s="95"/>
      <c r="J118" s="149">
        <f>J37-J117</f>
        <v>824633.8600000001</v>
      </c>
      <c r="K118" s="95"/>
      <c r="L118" s="149">
        <f>L37-L117</f>
        <v>4588.5800000000017</v>
      </c>
      <c r="M118" s="95"/>
      <c r="N118" s="149">
        <f>N37-N117</f>
        <v>26491.544999999984</v>
      </c>
      <c r="O118" s="95"/>
      <c r="P118" s="149">
        <f>P37-P117</f>
        <v>-70887.494999999995</v>
      </c>
      <c r="Q118" s="95"/>
      <c r="R118" s="95"/>
      <c r="S118" s="176">
        <f>H118+J118+L118+N118+P118</f>
        <v>764888.25000000012</v>
      </c>
      <c r="T118" s="196">
        <f>(T37-T117)</f>
        <v>764888.25</v>
      </c>
      <c r="U118" s="99"/>
    </row>
    <row r="119" spans="1:21" x14ac:dyDescent="0.3">
      <c r="A119" s="52"/>
      <c r="B119" s="52"/>
      <c r="C119" s="54" t="s">
        <v>94</v>
      </c>
      <c r="D119" s="54"/>
      <c r="E119" s="54"/>
      <c r="F119" s="54"/>
      <c r="G119" s="54"/>
      <c r="H119" s="54"/>
      <c r="I119" s="89"/>
      <c r="J119" s="58">
        <f>K119*T119</f>
        <v>0</v>
      </c>
      <c r="K119" s="89"/>
      <c r="L119" s="58">
        <f>M119*T119</f>
        <v>0</v>
      </c>
      <c r="M119" s="89"/>
      <c r="N119" s="58">
        <f>O119*T119</f>
        <v>0</v>
      </c>
      <c r="O119" s="89"/>
      <c r="P119" s="58">
        <f>Q119*T119</f>
        <v>0</v>
      </c>
      <c r="Q119" s="89"/>
      <c r="R119" s="89"/>
      <c r="S119" s="55">
        <f t="shared" ref="S119:S126" si="27">H119+J119+L119+N119+P119</f>
        <v>0</v>
      </c>
      <c r="T119" s="179"/>
      <c r="U119" s="99"/>
    </row>
    <row r="120" spans="1:21" x14ac:dyDescent="0.3">
      <c r="A120" s="52"/>
      <c r="B120" s="52"/>
      <c r="C120" s="54"/>
      <c r="D120" s="54" t="s">
        <v>95</v>
      </c>
      <c r="E120" s="54"/>
      <c r="F120" s="54"/>
      <c r="G120" s="54"/>
      <c r="H120" s="58">
        <v>0</v>
      </c>
      <c r="I120" s="89"/>
      <c r="J120" s="58">
        <f>K120*T120</f>
        <v>0</v>
      </c>
      <c r="K120" s="89"/>
      <c r="L120" s="58">
        <f>M120*T120</f>
        <v>0</v>
      </c>
      <c r="M120" s="89"/>
      <c r="N120" s="58">
        <f>O120*T120</f>
        <v>0</v>
      </c>
      <c r="O120" s="89"/>
      <c r="P120" s="58">
        <f>Q120*T120</f>
        <v>0</v>
      </c>
      <c r="Q120" s="89"/>
      <c r="R120" s="89"/>
      <c r="S120" s="55">
        <f t="shared" si="27"/>
        <v>0</v>
      </c>
      <c r="T120" s="179"/>
      <c r="U120" s="99"/>
    </row>
    <row r="121" spans="1:21" x14ac:dyDescent="0.3">
      <c r="A121" s="52"/>
      <c r="B121" s="52"/>
      <c r="C121" s="54"/>
      <c r="D121" s="54"/>
      <c r="E121" s="54" t="s">
        <v>163</v>
      </c>
      <c r="F121" s="54"/>
      <c r="G121" s="54"/>
      <c r="H121" s="58"/>
      <c r="I121" s="89"/>
      <c r="J121" s="58"/>
      <c r="K121" s="89"/>
      <c r="L121" s="58"/>
      <c r="M121" s="89"/>
      <c r="N121" s="58"/>
      <c r="O121" s="89"/>
      <c r="P121" s="58"/>
      <c r="Q121" s="89"/>
      <c r="R121" s="89"/>
      <c r="S121" s="55"/>
      <c r="T121" s="179"/>
      <c r="U121" s="99"/>
    </row>
    <row r="122" spans="1:21" x14ac:dyDescent="0.3">
      <c r="A122" s="52"/>
      <c r="B122" s="52"/>
      <c r="C122" s="54"/>
      <c r="D122" s="54"/>
      <c r="E122" s="54" t="s">
        <v>96</v>
      </c>
      <c r="F122" s="54"/>
      <c r="G122" s="54"/>
      <c r="H122" s="58">
        <v>0</v>
      </c>
      <c r="I122" s="89"/>
      <c r="J122" s="58">
        <v>750000</v>
      </c>
      <c r="K122" s="89">
        <v>1</v>
      </c>
      <c r="L122" s="58">
        <f>M122*T122</f>
        <v>0</v>
      </c>
      <c r="M122" s="89"/>
      <c r="N122" s="58">
        <f>O122*T122</f>
        <v>0</v>
      </c>
      <c r="O122" s="89"/>
      <c r="P122" s="58">
        <f>Q122*T122</f>
        <v>0</v>
      </c>
      <c r="Q122" s="89"/>
      <c r="R122" s="89">
        <f t="shared" si="10"/>
        <v>1</v>
      </c>
      <c r="S122" s="55">
        <v>750000</v>
      </c>
      <c r="T122" s="179"/>
      <c r="U122" s="99"/>
    </row>
    <row r="123" spans="1:21" ht="13.5" thickBot="1" x14ac:dyDescent="0.35">
      <c r="A123" s="52"/>
      <c r="B123" s="52"/>
      <c r="C123" s="77" t="s">
        <v>98</v>
      </c>
      <c r="D123" s="77" t="s">
        <v>97</v>
      </c>
      <c r="E123" s="77"/>
      <c r="F123" s="77"/>
      <c r="G123" s="77"/>
      <c r="H123" s="76">
        <f>SUM(H120:H122)</f>
        <v>0</v>
      </c>
      <c r="I123" s="96"/>
      <c r="J123" s="76">
        <f>SUM(J120:J122)</f>
        <v>750000</v>
      </c>
      <c r="K123" s="96"/>
      <c r="L123" s="76">
        <f>SUM(L120:L122)</f>
        <v>0</v>
      </c>
      <c r="M123" s="96"/>
      <c r="N123" s="76">
        <f>SUM(N120:N122)</f>
        <v>0</v>
      </c>
      <c r="O123" s="96"/>
      <c r="P123" s="76">
        <f>SUM(P120:P122)</f>
        <v>0</v>
      </c>
      <c r="Q123" s="96"/>
      <c r="R123" s="96"/>
      <c r="S123" s="78">
        <f>SUM(S120:S122)</f>
        <v>750000</v>
      </c>
      <c r="T123" s="197">
        <f>SUM(S120:S122)</f>
        <v>750000</v>
      </c>
      <c r="U123" s="99"/>
    </row>
    <row r="124" spans="1:21" x14ac:dyDescent="0.3">
      <c r="A124" s="52"/>
      <c r="B124" s="52"/>
      <c r="C124" s="168" t="s">
        <v>99</v>
      </c>
      <c r="D124" s="168"/>
      <c r="E124" s="168"/>
      <c r="F124" s="168"/>
      <c r="G124" s="168"/>
      <c r="H124" s="169">
        <f>SUM(H120:H123)</f>
        <v>0</v>
      </c>
      <c r="I124" s="170"/>
      <c r="J124" s="171"/>
      <c r="K124" s="170"/>
      <c r="L124" s="169">
        <f>SUM(L120:L123)</f>
        <v>0</v>
      </c>
      <c r="M124" s="170"/>
      <c r="N124" s="169">
        <f>SUM(N120:N123)</f>
        <v>0</v>
      </c>
      <c r="O124" s="170"/>
      <c r="P124" s="169">
        <f>SUM(P120:P123)</f>
        <v>0</v>
      </c>
      <c r="Q124" s="170"/>
      <c r="R124" s="170"/>
      <c r="S124" s="172"/>
      <c r="T124" s="198"/>
      <c r="U124" s="99"/>
    </row>
    <row r="125" spans="1:21" x14ac:dyDescent="0.3">
      <c r="A125" s="52"/>
      <c r="B125" s="52"/>
      <c r="C125" s="54"/>
      <c r="D125" s="54" t="s">
        <v>100</v>
      </c>
      <c r="E125" s="54"/>
      <c r="F125" s="54"/>
      <c r="G125" s="54"/>
      <c r="H125" s="58">
        <f>I125*T125</f>
        <v>0</v>
      </c>
      <c r="I125" s="89"/>
      <c r="J125" s="58">
        <f>K125*T125</f>
        <v>0</v>
      </c>
      <c r="K125" s="89"/>
      <c r="L125" s="58">
        <f>M125*T125</f>
        <v>0</v>
      </c>
      <c r="M125" s="89"/>
      <c r="N125" s="58">
        <f>O125*T125</f>
        <v>0</v>
      </c>
      <c r="O125" s="89"/>
      <c r="P125" s="58">
        <f>Q125*T125</f>
        <v>0</v>
      </c>
      <c r="Q125" s="89"/>
      <c r="R125" s="89"/>
      <c r="S125" s="55">
        <f t="shared" si="27"/>
        <v>0</v>
      </c>
      <c r="T125" s="179"/>
      <c r="U125" s="99"/>
    </row>
    <row r="126" spans="1:21" x14ac:dyDescent="0.3">
      <c r="A126" s="52"/>
      <c r="B126" s="52"/>
      <c r="C126" s="54"/>
      <c r="D126" s="54"/>
      <c r="E126" s="54" t="s">
        <v>101</v>
      </c>
      <c r="F126" s="54"/>
      <c r="G126" s="54"/>
      <c r="H126" s="58">
        <f>I126*T126</f>
        <v>1000</v>
      </c>
      <c r="I126" s="89">
        <v>1</v>
      </c>
      <c r="J126" s="58">
        <f>K126*T126</f>
        <v>0</v>
      </c>
      <c r="K126" s="89"/>
      <c r="L126" s="58">
        <f>M126*T126</f>
        <v>0</v>
      </c>
      <c r="M126" s="89"/>
      <c r="N126" s="58">
        <f>O126*T126</f>
        <v>0</v>
      </c>
      <c r="O126" s="89"/>
      <c r="P126" s="58">
        <f>Q126*T126</f>
        <v>0</v>
      </c>
      <c r="Q126" s="89"/>
      <c r="R126" s="89">
        <f t="shared" ref="R126" si="28">Q126+O126+M126+K126+I126</f>
        <v>1</v>
      </c>
      <c r="S126" s="55">
        <f t="shared" si="27"/>
        <v>1000</v>
      </c>
      <c r="T126" s="179">
        <v>1000</v>
      </c>
      <c r="U126" s="99"/>
    </row>
    <row r="127" spans="1:21" x14ac:dyDescent="0.3">
      <c r="A127" s="52"/>
      <c r="B127" s="52"/>
      <c r="C127" s="54"/>
      <c r="D127" s="54"/>
      <c r="E127" s="54" t="s">
        <v>164</v>
      </c>
      <c r="F127" s="54"/>
      <c r="G127" s="54"/>
      <c r="H127" s="58"/>
      <c r="I127" s="89"/>
      <c r="J127" s="58"/>
      <c r="K127" s="89"/>
      <c r="L127" s="58"/>
      <c r="M127" s="89"/>
      <c r="N127" s="58"/>
      <c r="O127" s="89"/>
      <c r="P127" s="58"/>
      <c r="Q127" s="89"/>
      <c r="R127" s="89"/>
      <c r="S127" s="55"/>
      <c r="T127" s="179"/>
      <c r="U127" s="99"/>
    </row>
    <row r="128" spans="1:21" x14ac:dyDescent="0.3">
      <c r="A128" s="52"/>
      <c r="B128" s="52"/>
      <c r="C128" s="69" t="s">
        <v>103</v>
      </c>
      <c r="D128" s="69" t="s">
        <v>102</v>
      </c>
      <c r="E128" s="69"/>
      <c r="F128" s="69"/>
      <c r="G128" s="69"/>
      <c r="H128" s="70">
        <f>SUM(H125:H127)</f>
        <v>1000</v>
      </c>
      <c r="I128" s="94"/>
      <c r="J128" s="70">
        <f>SUM(J125:J127)</f>
        <v>0</v>
      </c>
      <c r="K128" s="94"/>
      <c r="L128" s="70">
        <f>SUM(L125:L127)</f>
        <v>0</v>
      </c>
      <c r="M128" s="94"/>
      <c r="N128" s="70">
        <f>SUM(N125:N127)</f>
        <v>0</v>
      </c>
      <c r="O128" s="94"/>
      <c r="P128" s="70">
        <f>SUM(P125:P127)</f>
        <v>0</v>
      </c>
      <c r="Q128" s="94"/>
      <c r="R128" s="94"/>
      <c r="S128" s="70">
        <f>SUM(S125:S127)</f>
        <v>1000</v>
      </c>
      <c r="T128" s="199">
        <f>SUM(T125:T127)</f>
        <v>1000</v>
      </c>
      <c r="U128" s="99"/>
    </row>
    <row r="129" spans="1:21" x14ac:dyDescent="0.3">
      <c r="A129" s="52"/>
      <c r="B129" s="74" t="s">
        <v>104</v>
      </c>
      <c r="C129" s="77"/>
      <c r="D129" s="173"/>
      <c r="E129" s="173"/>
      <c r="F129" s="173"/>
      <c r="G129" s="173"/>
      <c r="H129" s="174">
        <f>H123-H128</f>
        <v>-1000</v>
      </c>
      <c r="I129" s="175"/>
      <c r="J129" s="174">
        <f>J123-J128</f>
        <v>750000</v>
      </c>
      <c r="K129" s="175"/>
      <c r="L129" s="174">
        <f>L123-L128</f>
        <v>0</v>
      </c>
      <c r="M129" s="175"/>
      <c r="N129" s="174">
        <f>N123-N128</f>
        <v>0</v>
      </c>
      <c r="O129" s="175"/>
      <c r="P129" s="174">
        <f>P123-P128</f>
        <v>0</v>
      </c>
      <c r="Q129" s="175"/>
      <c r="R129" s="175"/>
      <c r="S129" s="174">
        <f>S123-S128</f>
        <v>749000</v>
      </c>
      <c r="T129" s="200">
        <f>T123-T128</f>
        <v>749000</v>
      </c>
      <c r="U129" s="99"/>
    </row>
    <row r="130" spans="1:21" s="84" customFormat="1" ht="13.5" thickBot="1" x14ac:dyDescent="0.35">
      <c r="A130" s="80" t="s">
        <v>105</v>
      </c>
      <c r="B130" s="80"/>
      <c r="C130" s="64"/>
      <c r="D130" s="77"/>
      <c r="E130" s="77"/>
      <c r="F130" s="77"/>
      <c r="G130" s="77"/>
      <c r="H130" s="76"/>
      <c r="I130" s="96"/>
      <c r="J130" s="76">
        <f>J123-J129</f>
        <v>0</v>
      </c>
      <c r="K130" s="96"/>
      <c r="L130" s="79">
        <f>L124-L129</f>
        <v>0</v>
      </c>
      <c r="M130" s="98"/>
      <c r="N130" s="79">
        <f>N124-N129</f>
        <v>0</v>
      </c>
      <c r="O130" s="98"/>
      <c r="P130" s="79">
        <f>P124-P129</f>
        <v>0</v>
      </c>
      <c r="Q130" s="96"/>
      <c r="R130" s="96"/>
      <c r="S130" s="78"/>
      <c r="T130" s="201"/>
      <c r="U130" s="207"/>
    </row>
    <row r="131" spans="1:21" ht="14" thickTop="1" thickBot="1" x14ac:dyDescent="0.35">
      <c r="C131" s="81"/>
      <c r="D131" s="64"/>
      <c r="E131" s="64"/>
      <c r="F131" s="64"/>
      <c r="G131" s="64"/>
      <c r="H131" s="65">
        <f>ROUND(H118+H129,5)</f>
        <v>-20938.240000000002</v>
      </c>
      <c r="I131" s="97"/>
      <c r="J131" s="65">
        <f>ROUND(J118+J129,5)</f>
        <v>1574633.86</v>
      </c>
      <c r="K131" s="97"/>
      <c r="L131" s="100">
        <f>ROUND(L118+L129,5)</f>
        <v>4588.58</v>
      </c>
      <c r="M131" s="91"/>
      <c r="N131" s="155">
        <f>ROUND(N118+N129,5)</f>
        <v>26491.544999999998</v>
      </c>
      <c r="O131" s="91"/>
      <c r="P131" s="155">
        <f>ROUND(P118+P129,5)</f>
        <v>-70887.494999999995</v>
      </c>
      <c r="Q131" s="91"/>
      <c r="R131" s="91"/>
      <c r="S131" s="65">
        <f>P131+N131+L131+J131+H131</f>
        <v>1513888.2500000002</v>
      </c>
      <c r="T131" s="202">
        <f>T129+T118</f>
        <v>1513888.25</v>
      </c>
      <c r="U131" s="208"/>
    </row>
    <row r="132" spans="1:21" s="41" customFormat="1" ht="13.5" thickTop="1" x14ac:dyDescent="0.3">
      <c r="A132" s="84"/>
      <c r="B132" s="84"/>
      <c r="C132" s="85"/>
      <c r="D132" s="81"/>
      <c r="E132" s="81"/>
      <c r="F132" s="81"/>
      <c r="G132" s="81"/>
      <c r="H132" s="81"/>
      <c r="I132" s="82"/>
      <c r="J132" s="66"/>
      <c r="K132" s="82"/>
      <c r="L132" s="66"/>
      <c r="M132" s="82"/>
      <c r="N132" s="66"/>
      <c r="O132" s="82"/>
      <c r="P132" s="81"/>
      <c r="Q132" s="82"/>
      <c r="R132" s="82"/>
      <c r="S132" s="83"/>
      <c r="T132" s="192"/>
      <c r="U132" s="99"/>
    </row>
    <row r="133" spans="1:21" ht="26" x14ac:dyDescent="0.3">
      <c r="C133" s="73"/>
      <c r="D133" s="85"/>
      <c r="E133" s="85"/>
      <c r="F133" s="85"/>
      <c r="G133" s="154"/>
      <c r="H133" s="86" t="s">
        <v>107</v>
      </c>
      <c r="I133" s="87"/>
      <c r="J133" s="88" t="s">
        <v>109</v>
      </c>
      <c r="K133" s="87"/>
      <c r="L133" s="88" t="s">
        <v>114</v>
      </c>
      <c r="M133" s="87"/>
      <c r="N133" s="86" t="s">
        <v>110</v>
      </c>
      <c r="O133" s="87"/>
      <c r="P133" s="86" t="s">
        <v>111</v>
      </c>
      <c r="Q133" s="39"/>
      <c r="R133" s="39"/>
      <c r="S133" s="40"/>
      <c r="T133" s="187"/>
      <c r="U133" s="209"/>
    </row>
  </sheetData>
  <pageMargins left="0.25" right="0.25" top="0.75" bottom="0.5" header="0.3" footer="0.3"/>
  <pageSetup paperSize="5" scale="85" orientation="landscape" r:id="rId1"/>
  <headerFooter>
    <oddHeader>&amp;L&amp;D&amp;C&amp;"Arial,Bold"&amp;12 2022 New Level CDC Budget by Class -Statement of Functional Activity&amp;R&amp;P of &amp;N</oddHeader>
    <oddFooter>&amp;L&amp;F&amp;R&amp;"Arial,Bold"&amp;8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298450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298450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topLeftCell="A15" workbookViewId="0">
      <selection activeCell="O29" sqref="O29"/>
    </sheetView>
  </sheetViews>
  <sheetFormatPr defaultRowHeight="14.5" x14ac:dyDescent="0.35"/>
  <cols>
    <col min="1" max="1" width="2.81640625" customWidth="1"/>
    <col min="2" max="2" width="1.81640625" customWidth="1"/>
    <col min="3" max="3" width="3.81640625" customWidth="1"/>
    <col min="4" max="4" width="1.453125" customWidth="1"/>
    <col min="5" max="5" width="2" customWidth="1"/>
    <col min="6" max="6" width="1.81640625" customWidth="1"/>
    <col min="7" max="7" width="17.81640625" customWidth="1"/>
    <col min="19" max="19" width="11.54296875" customWidth="1"/>
    <col min="20" max="20" width="10.81640625" customWidth="1"/>
    <col min="21" max="21" width="9.1796875" bestFit="1" customWidth="1"/>
  </cols>
  <sheetData>
    <row r="1" spans="1:21" s="5" customFormat="1" ht="22.25" customHeight="1" x14ac:dyDescent="0.25">
      <c r="A1" s="7"/>
      <c r="B1" s="7"/>
      <c r="C1" s="7"/>
      <c r="D1" s="7"/>
      <c r="E1" s="7"/>
      <c r="F1" s="7"/>
      <c r="G1" s="7"/>
      <c r="H1" s="217" t="s">
        <v>106</v>
      </c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11"/>
    </row>
    <row r="2" spans="1:21" s="9" customFormat="1" ht="32.5" thickBot="1" x14ac:dyDescent="0.35">
      <c r="A2" s="1"/>
      <c r="B2" s="1" t="s">
        <v>0</v>
      </c>
      <c r="C2" s="1"/>
      <c r="D2" s="1"/>
      <c r="E2" s="1"/>
      <c r="F2" s="1"/>
      <c r="G2" s="1"/>
      <c r="H2" s="12" t="s">
        <v>107</v>
      </c>
      <c r="I2" s="13" t="s">
        <v>108</v>
      </c>
      <c r="J2" s="12" t="s">
        <v>109</v>
      </c>
      <c r="K2" s="13" t="s">
        <v>108</v>
      </c>
      <c r="L2" s="12" t="s">
        <v>114</v>
      </c>
      <c r="M2" s="13" t="s">
        <v>108</v>
      </c>
      <c r="N2" s="12" t="s">
        <v>110</v>
      </c>
      <c r="O2" s="13" t="s">
        <v>108</v>
      </c>
      <c r="P2" s="12" t="s">
        <v>111</v>
      </c>
      <c r="Q2" s="13" t="s">
        <v>108</v>
      </c>
      <c r="R2" s="13" t="s">
        <v>112</v>
      </c>
      <c r="S2" s="14" t="s">
        <v>113</v>
      </c>
      <c r="T2" s="15" t="s">
        <v>117</v>
      </c>
      <c r="U2" s="9" t="s">
        <v>124</v>
      </c>
    </row>
    <row r="3" spans="1:21" s="4" customFormat="1" ht="11" thickTop="1" x14ac:dyDescent="0.25">
      <c r="A3" s="2"/>
      <c r="B3" s="2"/>
      <c r="C3" s="2"/>
      <c r="D3" s="2"/>
      <c r="E3" s="2"/>
      <c r="F3" s="2" t="s">
        <v>63</v>
      </c>
      <c r="G3" s="2"/>
      <c r="H3" s="8">
        <f t="shared" ref="H3:H4" si="0">I3*T3</f>
        <v>0</v>
      </c>
      <c r="I3" s="10"/>
      <c r="J3" s="8">
        <f t="shared" ref="J3:J4" si="1">K3*T3</f>
        <v>0</v>
      </c>
      <c r="K3" s="10"/>
      <c r="L3" s="8">
        <f t="shared" ref="L3:L4" si="2">M3*T3</f>
        <v>0</v>
      </c>
      <c r="M3" s="10"/>
      <c r="N3" s="8">
        <f t="shared" ref="N3:N4" si="3">O3*T3</f>
        <v>0</v>
      </c>
      <c r="O3" s="10"/>
      <c r="P3" s="8">
        <f t="shared" ref="P3:P4" si="4">Q3*T3</f>
        <v>0</v>
      </c>
      <c r="Q3" s="10"/>
      <c r="R3" s="10"/>
      <c r="S3" s="3">
        <f t="shared" ref="S3" si="5">H3+J3+L3+N3+P3</f>
        <v>0</v>
      </c>
      <c r="T3" s="6"/>
    </row>
    <row r="4" spans="1:21" s="4" customFormat="1" ht="10.5" x14ac:dyDescent="0.25">
      <c r="A4" s="2"/>
      <c r="B4" s="2"/>
      <c r="C4" s="2"/>
      <c r="D4" s="2"/>
      <c r="E4" s="2"/>
      <c r="F4" s="2"/>
      <c r="G4" s="2" t="s">
        <v>64</v>
      </c>
      <c r="H4" s="8">
        <f t="shared" si="0"/>
        <v>49672.000000000007</v>
      </c>
      <c r="I4" s="10">
        <v>0.28000000000000003</v>
      </c>
      <c r="J4" s="8">
        <f t="shared" si="1"/>
        <v>60316.000000000007</v>
      </c>
      <c r="K4" s="10">
        <v>0.34</v>
      </c>
      <c r="L4" s="8">
        <f t="shared" si="2"/>
        <v>30158.000000000004</v>
      </c>
      <c r="M4" s="10">
        <v>0.17</v>
      </c>
      <c r="N4" s="8">
        <f t="shared" si="3"/>
        <v>37254</v>
      </c>
      <c r="O4" s="10">
        <v>0.21</v>
      </c>
      <c r="P4" s="8">
        <f t="shared" si="4"/>
        <v>0</v>
      </c>
      <c r="Q4" s="10"/>
      <c r="R4" s="10">
        <f t="shared" ref="R4:R9" si="6">Q4+O4+M4+K4+I4</f>
        <v>1</v>
      </c>
      <c r="S4" s="3">
        <f>H4+J4+L4+N4+P4</f>
        <v>177400.00000000003</v>
      </c>
      <c r="T4" s="6">
        <v>177400</v>
      </c>
    </row>
    <row r="5" spans="1:21" s="4" customFormat="1" ht="10.5" x14ac:dyDescent="0.25">
      <c r="A5" s="2"/>
      <c r="B5" s="2"/>
      <c r="C5" s="2"/>
      <c r="D5" s="2"/>
      <c r="E5" s="2"/>
      <c r="F5" s="2"/>
      <c r="G5" s="2" t="s">
        <v>118</v>
      </c>
      <c r="H5" s="8">
        <f>T5*I5</f>
        <v>0</v>
      </c>
      <c r="I5" s="10">
        <v>0</v>
      </c>
      <c r="J5" s="8">
        <f>K5*T5</f>
        <v>4240</v>
      </c>
      <c r="K5" s="10">
        <v>0.1</v>
      </c>
      <c r="L5" s="8">
        <f>M5*T6</f>
        <v>0</v>
      </c>
      <c r="M5" s="10">
        <v>0</v>
      </c>
      <c r="N5" s="8">
        <f>O5*T5</f>
        <v>4240</v>
      </c>
      <c r="O5" s="10">
        <v>0.1</v>
      </c>
      <c r="P5" s="8">
        <f>Q5*T5</f>
        <v>33920</v>
      </c>
      <c r="Q5" s="10">
        <v>0.8</v>
      </c>
      <c r="R5" s="10">
        <f t="shared" si="6"/>
        <v>1</v>
      </c>
      <c r="S5" s="3">
        <f>H5+J5+L5+N5+P5</f>
        <v>42400</v>
      </c>
      <c r="T5" s="19">
        <v>42400</v>
      </c>
      <c r="U5" s="20"/>
    </row>
    <row r="6" spans="1:21" s="4" customFormat="1" ht="10.5" x14ac:dyDescent="0.25">
      <c r="A6" s="2"/>
      <c r="B6" s="2"/>
      <c r="C6" s="2"/>
      <c r="D6" s="2"/>
      <c r="E6" s="2"/>
      <c r="F6" s="2"/>
      <c r="G6" s="2" t="s">
        <v>119</v>
      </c>
      <c r="H6" s="8">
        <f>I6*T6</f>
        <v>3300</v>
      </c>
      <c r="I6" s="10">
        <v>0.05</v>
      </c>
      <c r="J6" s="8">
        <f>K6*T6</f>
        <v>33000</v>
      </c>
      <c r="K6" s="10">
        <v>0.5</v>
      </c>
      <c r="L6" s="8">
        <f>M6*T6</f>
        <v>23100</v>
      </c>
      <c r="M6" s="10">
        <v>0.35</v>
      </c>
      <c r="N6" s="8">
        <f>O6*T6</f>
        <v>6600</v>
      </c>
      <c r="O6" s="10">
        <v>0.1</v>
      </c>
      <c r="P6" s="8">
        <f>Q6*T6</f>
        <v>0</v>
      </c>
      <c r="Q6" s="10"/>
      <c r="R6" s="10">
        <f t="shared" si="6"/>
        <v>1</v>
      </c>
      <c r="S6" s="3">
        <f t="shared" ref="S6:S9" si="7">H6+J6+L6+N6+P6</f>
        <v>66000</v>
      </c>
      <c r="T6" s="19">
        <v>66000</v>
      </c>
      <c r="U6" s="20"/>
    </row>
    <row r="7" spans="1:21" s="4" customFormat="1" ht="10.5" x14ac:dyDescent="0.25">
      <c r="A7" s="2"/>
      <c r="B7" s="2"/>
      <c r="C7" s="2"/>
      <c r="D7" s="2"/>
      <c r="E7" s="2"/>
      <c r="F7" s="2"/>
      <c r="G7" s="2" t="s">
        <v>120</v>
      </c>
      <c r="H7" s="8">
        <f>I7*T7</f>
        <v>10400</v>
      </c>
      <c r="I7" s="10">
        <v>0.25</v>
      </c>
      <c r="J7" s="8">
        <f>K7*T7</f>
        <v>12480</v>
      </c>
      <c r="K7" s="10">
        <v>0.3</v>
      </c>
      <c r="L7" s="8">
        <f>M7*T7</f>
        <v>2080</v>
      </c>
      <c r="M7" s="10">
        <v>0.05</v>
      </c>
      <c r="N7" s="8">
        <f>O7*T7</f>
        <v>6240</v>
      </c>
      <c r="O7" s="10">
        <v>0.15</v>
      </c>
      <c r="P7" s="8">
        <f>Q7*T7</f>
        <v>10400</v>
      </c>
      <c r="Q7" s="10">
        <v>0.25</v>
      </c>
      <c r="R7" s="10">
        <f t="shared" si="6"/>
        <v>1</v>
      </c>
      <c r="S7" s="3">
        <f t="shared" si="7"/>
        <v>41600</v>
      </c>
      <c r="T7" s="19">
        <v>41600</v>
      </c>
      <c r="U7" s="20"/>
    </row>
    <row r="8" spans="1:21" s="4" customFormat="1" ht="10.5" x14ac:dyDescent="0.25">
      <c r="A8" s="2"/>
      <c r="B8" s="2"/>
      <c r="C8" s="2"/>
      <c r="D8" s="2"/>
      <c r="E8" s="2"/>
      <c r="F8" s="2"/>
      <c r="G8" s="2" t="s">
        <v>121</v>
      </c>
      <c r="H8" s="8">
        <f t="shared" ref="H8:H9" si="8">I8*T8</f>
        <v>31500</v>
      </c>
      <c r="I8" s="10">
        <v>0.75</v>
      </c>
      <c r="J8" s="8">
        <f t="shared" ref="J8:J9" si="9">K8*T8</f>
        <v>0</v>
      </c>
      <c r="K8" s="10">
        <v>0</v>
      </c>
      <c r="L8" s="8">
        <f>M8*T8</f>
        <v>2100</v>
      </c>
      <c r="M8" s="10">
        <v>0.05</v>
      </c>
      <c r="N8" s="8">
        <f>O8*T8</f>
        <v>0</v>
      </c>
      <c r="O8" s="10">
        <v>0</v>
      </c>
      <c r="P8" s="8">
        <f>Q8*T8</f>
        <v>8400</v>
      </c>
      <c r="Q8" s="10">
        <v>0.2</v>
      </c>
      <c r="R8" s="10">
        <f t="shared" si="6"/>
        <v>1</v>
      </c>
      <c r="S8" s="3">
        <f t="shared" si="7"/>
        <v>42000</v>
      </c>
      <c r="T8" s="19">
        <v>42000</v>
      </c>
      <c r="U8" s="20"/>
    </row>
    <row r="9" spans="1:21" s="4" customFormat="1" ht="10.5" x14ac:dyDescent="0.25">
      <c r="A9" s="2"/>
      <c r="B9" s="2"/>
      <c r="C9" s="2"/>
      <c r="D9" s="2"/>
      <c r="E9" s="2"/>
      <c r="F9" s="2"/>
      <c r="G9" s="2" t="s">
        <v>122</v>
      </c>
      <c r="H9" s="8">
        <f t="shared" si="8"/>
        <v>3750</v>
      </c>
      <c r="I9" s="10">
        <v>0.25</v>
      </c>
      <c r="J9" s="8">
        <f t="shared" si="9"/>
        <v>0</v>
      </c>
      <c r="K9" s="10">
        <v>0</v>
      </c>
      <c r="L9" s="8">
        <f>M9*T9</f>
        <v>7500</v>
      </c>
      <c r="M9" s="10">
        <v>0.5</v>
      </c>
      <c r="N9" s="8">
        <f>O9*T9</f>
        <v>3750</v>
      </c>
      <c r="O9" s="10">
        <v>0.25</v>
      </c>
      <c r="P9" s="8">
        <f>Q93*T9</f>
        <v>0</v>
      </c>
      <c r="Q9" s="10">
        <v>0</v>
      </c>
      <c r="R9" s="10">
        <f t="shared" si="6"/>
        <v>1</v>
      </c>
      <c r="S9" s="3">
        <f t="shared" si="7"/>
        <v>15000</v>
      </c>
      <c r="T9" s="19">
        <v>15000</v>
      </c>
      <c r="U9" s="21">
        <f>SUM(T5:T9)</f>
        <v>207000</v>
      </c>
    </row>
    <row r="10" spans="1:21" s="4" customFormat="1" ht="10.5" x14ac:dyDescent="0.25">
      <c r="A10" s="2"/>
      <c r="B10" s="2"/>
      <c r="C10" s="2"/>
      <c r="D10" s="2"/>
      <c r="E10" s="2"/>
      <c r="F10" s="2"/>
      <c r="G10" s="2" t="s">
        <v>125</v>
      </c>
      <c r="H10" s="22">
        <f>SUM(H5:H9)</f>
        <v>48950</v>
      </c>
      <c r="I10" s="10"/>
      <c r="J10" s="22">
        <f>SUM(J5:J9)</f>
        <v>49720</v>
      </c>
      <c r="K10" s="10"/>
      <c r="L10" s="22">
        <f>SUM(L5:L9)</f>
        <v>34780</v>
      </c>
      <c r="M10" s="10"/>
      <c r="N10" s="22">
        <f>SUM(N5:N9)</f>
        <v>20830</v>
      </c>
      <c r="O10" s="10"/>
      <c r="P10" s="22">
        <f>SUM(P5:P9)</f>
        <v>52720</v>
      </c>
      <c r="Q10" s="10"/>
      <c r="R10" s="10"/>
      <c r="S10" s="3"/>
      <c r="T10" s="19"/>
      <c r="U10" s="21"/>
    </row>
    <row r="11" spans="1:21" s="23" customFormat="1" ht="18" customHeight="1" x14ac:dyDescent="0.25">
      <c r="A11" s="16"/>
      <c r="B11" s="16"/>
      <c r="C11" s="16"/>
      <c r="D11" s="16"/>
      <c r="E11" s="16"/>
      <c r="F11" s="16"/>
      <c r="G11" s="16" t="s">
        <v>126</v>
      </c>
      <c r="H11" s="23">
        <f>H10/U9</f>
        <v>0.23647342995169082</v>
      </c>
      <c r="I11" s="16"/>
      <c r="J11" s="23">
        <f>J10/U9</f>
        <v>0.24019323671497583</v>
      </c>
      <c r="K11" s="16"/>
      <c r="L11" s="23">
        <f>L10/U9</f>
        <v>0.16801932367149758</v>
      </c>
      <c r="M11" s="16"/>
      <c r="N11" s="23">
        <f>N10/U9</f>
        <v>0.10062801932367149</v>
      </c>
      <c r="O11" s="16"/>
      <c r="P11" s="23">
        <f>P10/U9</f>
        <v>0.25468599033816425</v>
      </c>
      <c r="Q11" s="16"/>
      <c r="R11" s="16">
        <f>SUM(H11:P11)</f>
        <v>1</v>
      </c>
      <c r="S11" s="16"/>
      <c r="T11" s="24"/>
      <c r="U11" s="25"/>
    </row>
    <row r="12" spans="1:21" s="4" customFormat="1" ht="19.25" customHeight="1" x14ac:dyDescent="0.4">
      <c r="A12" s="2"/>
      <c r="B12" s="2"/>
      <c r="C12" s="2"/>
      <c r="D12" s="2"/>
      <c r="E12" s="2"/>
      <c r="F12" s="2"/>
      <c r="G12" s="26" t="s">
        <v>131</v>
      </c>
      <c r="H12" s="8"/>
      <c r="I12" s="10"/>
      <c r="J12" s="8"/>
      <c r="K12" s="10"/>
      <c r="L12" s="8">
        <f>M12*T12</f>
        <v>15000</v>
      </c>
      <c r="M12" s="10">
        <v>1</v>
      </c>
      <c r="N12" s="8"/>
      <c r="O12" s="10"/>
      <c r="P12" s="8">
        <f>Q12*T12</f>
        <v>0</v>
      </c>
      <c r="Q12" s="10"/>
      <c r="R12" s="10">
        <f>Q12+O12+M12+K12+I12</f>
        <v>1</v>
      </c>
      <c r="S12" s="3">
        <f>H12+J12+L12+N12+P12</f>
        <v>15000</v>
      </c>
      <c r="T12" s="27">
        <v>15000</v>
      </c>
    </row>
    <row r="13" spans="1:21" s="4" customFormat="1" ht="24.65" customHeight="1" x14ac:dyDescent="0.25">
      <c r="A13" s="2"/>
      <c r="B13" s="2"/>
      <c r="C13" s="2"/>
      <c r="D13" s="2"/>
      <c r="E13" s="2"/>
      <c r="F13" s="2"/>
      <c r="G13" s="2" t="s">
        <v>65</v>
      </c>
      <c r="H13" s="8">
        <f t="shared" ref="H13" si="10">I13*T13</f>
        <v>3520</v>
      </c>
      <c r="I13" s="18">
        <v>0.22</v>
      </c>
      <c r="J13" s="8">
        <f t="shared" ref="J13" si="11">K13*T13</f>
        <v>1600</v>
      </c>
      <c r="K13" s="18">
        <v>0.1</v>
      </c>
      <c r="L13" s="8">
        <f t="shared" ref="L13" si="12">M13*T13</f>
        <v>3840</v>
      </c>
      <c r="M13" s="18">
        <v>0.24</v>
      </c>
      <c r="N13" s="8">
        <f t="shared" ref="N13" si="13">O13*T13</f>
        <v>2720</v>
      </c>
      <c r="O13" s="18">
        <v>0.17</v>
      </c>
      <c r="P13" s="8">
        <f t="shared" ref="P13" si="14">Q13*T13</f>
        <v>4320</v>
      </c>
      <c r="Q13" s="18">
        <v>0.27</v>
      </c>
      <c r="R13" s="10">
        <f t="shared" ref="R13" si="15">Q13+O13+M13+K13+I13</f>
        <v>1</v>
      </c>
      <c r="S13" s="3">
        <f t="shared" ref="S13" si="16">H13+J13+L13+N13+P13</f>
        <v>16000</v>
      </c>
      <c r="T13" s="6">
        <v>16000</v>
      </c>
    </row>
    <row r="14" spans="1:21" ht="24.65" customHeight="1" x14ac:dyDescent="0.35"/>
    <row r="15" spans="1:21" x14ac:dyDescent="0.35">
      <c r="G15" s="2" t="s">
        <v>123</v>
      </c>
      <c r="H15">
        <v>141.27000000000001</v>
      </c>
      <c r="J15">
        <v>65.45</v>
      </c>
      <c r="L15">
        <v>158.47999999999999</v>
      </c>
      <c r="N15">
        <v>109</v>
      </c>
      <c r="P15">
        <v>181.87</v>
      </c>
      <c r="T15">
        <f>P15+N15+L15+J15+H15</f>
        <v>656.07</v>
      </c>
    </row>
    <row r="16" spans="1:21" x14ac:dyDescent="0.35">
      <c r="H16" s="17">
        <f>H15/T15</f>
        <v>0.21532763272211808</v>
      </c>
      <c r="I16" s="17"/>
      <c r="J16" s="17">
        <f>J15/T15</f>
        <v>9.9760696267166604E-2</v>
      </c>
      <c r="K16" s="17"/>
      <c r="L16" s="17">
        <f>L15/T15</f>
        <v>0.24155958967793068</v>
      </c>
      <c r="M16" s="17"/>
      <c r="N16" s="17">
        <f>N15/T15</f>
        <v>0.16614080814547227</v>
      </c>
      <c r="O16" s="17"/>
      <c r="P16" s="17">
        <f>P15/T15</f>
        <v>0.27721127318731231</v>
      </c>
      <c r="R16" s="10">
        <f>P16+N16+L16+J16+H16</f>
        <v>1</v>
      </c>
    </row>
    <row r="17" spans="1:21" x14ac:dyDescent="0.35">
      <c r="G17">
        <v>2020</v>
      </c>
    </row>
    <row r="18" spans="1:21" s="4" customFormat="1" ht="10.5" x14ac:dyDescent="0.25">
      <c r="A18" s="2"/>
      <c r="B18" s="2"/>
      <c r="C18" s="2"/>
      <c r="D18" s="2"/>
      <c r="E18" s="2"/>
      <c r="F18" s="2" t="s">
        <v>63</v>
      </c>
      <c r="G18" s="2"/>
      <c r="H18" s="8">
        <f t="shared" ref="H18:H19" si="17">I18*T18</f>
        <v>0</v>
      </c>
      <c r="I18" s="10"/>
      <c r="J18" s="8">
        <f t="shared" ref="J18:J19" si="18">K18*T18</f>
        <v>0</v>
      </c>
      <c r="K18" s="10"/>
      <c r="L18" s="8">
        <f t="shared" ref="L18:L19" si="19">M18*T18</f>
        <v>0</v>
      </c>
      <c r="M18" s="10"/>
      <c r="N18" s="8">
        <f t="shared" ref="N18:N19" si="20">O18*T18</f>
        <v>0</v>
      </c>
      <c r="O18" s="10"/>
      <c r="P18" s="8">
        <f t="shared" ref="P18:P19" si="21">Q18*T18</f>
        <v>0</v>
      </c>
      <c r="Q18" s="10"/>
      <c r="R18" s="10"/>
      <c r="S18" s="3">
        <f t="shared" ref="S18" si="22">H18+J18+L18+N18+P18</f>
        <v>0</v>
      </c>
      <c r="T18" s="6"/>
    </row>
    <row r="19" spans="1:21" s="4" customFormat="1" ht="10.5" x14ac:dyDescent="0.25">
      <c r="A19" s="2"/>
      <c r="B19" s="2"/>
      <c r="C19" s="2"/>
      <c r="D19" s="2"/>
      <c r="E19" s="2"/>
      <c r="F19" s="2"/>
      <c r="G19" s="2" t="s">
        <v>64</v>
      </c>
      <c r="H19" s="8">
        <f t="shared" si="17"/>
        <v>49672.000000000007</v>
      </c>
      <c r="I19" s="10">
        <v>0.28000000000000003</v>
      </c>
      <c r="J19" s="8">
        <f t="shared" si="18"/>
        <v>60316.000000000007</v>
      </c>
      <c r="K19" s="10">
        <v>0.34</v>
      </c>
      <c r="L19" s="8">
        <f t="shared" si="19"/>
        <v>30158.000000000004</v>
      </c>
      <c r="M19" s="10">
        <v>0.17</v>
      </c>
      <c r="N19" s="8">
        <f t="shared" si="20"/>
        <v>37254</v>
      </c>
      <c r="O19" s="10">
        <v>0.21</v>
      </c>
      <c r="P19" s="8">
        <f t="shared" si="21"/>
        <v>0</v>
      </c>
      <c r="Q19" s="10"/>
      <c r="R19" s="10">
        <f t="shared" ref="R19:R24" si="23">Q19+O19+M19+K19+I19</f>
        <v>1</v>
      </c>
      <c r="S19" s="3">
        <f>H19+J19+L19+N19+P19</f>
        <v>177400.00000000003</v>
      </c>
      <c r="T19" s="6">
        <v>177400</v>
      </c>
    </row>
    <row r="20" spans="1:21" s="4" customFormat="1" ht="10.5" x14ac:dyDescent="0.25">
      <c r="A20" s="2"/>
      <c r="B20" s="2"/>
      <c r="C20" s="2"/>
      <c r="D20" s="2"/>
      <c r="E20" s="2"/>
      <c r="F20" s="2"/>
      <c r="G20" s="2" t="s">
        <v>118</v>
      </c>
      <c r="H20" s="8">
        <f>T20*I20</f>
        <v>0</v>
      </c>
      <c r="I20" s="10">
        <v>0</v>
      </c>
      <c r="J20" s="8">
        <f>K20*T20</f>
        <v>4240</v>
      </c>
      <c r="K20" s="10">
        <v>0.1</v>
      </c>
      <c r="L20" s="8">
        <f>M20*T21</f>
        <v>0</v>
      </c>
      <c r="M20" s="10">
        <v>0</v>
      </c>
      <c r="N20" s="8">
        <f>O20*T20</f>
        <v>4240</v>
      </c>
      <c r="O20" s="10">
        <v>0.1</v>
      </c>
      <c r="P20" s="8">
        <f>Q20*T20</f>
        <v>33920</v>
      </c>
      <c r="Q20" s="10">
        <v>0.8</v>
      </c>
      <c r="R20" s="10">
        <f t="shared" si="23"/>
        <v>1</v>
      </c>
      <c r="S20" s="3">
        <f>H20+J20+L20+N20+P20</f>
        <v>42400</v>
      </c>
      <c r="T20" s="19">
        <v>42400</v>
      </c>
      <c r="U20" s="20"/>
    </row>
    <row r="21" spans="1:21" s="4" customFormat="1" ht="14.75" customHeight="1" x14ac:dyDescent="0.25">
      <c r="A21" s="218" t="s">
        <v>137</v>
      </c>
      <c r="B21" s="218"/>
      <c r="C21" s="218"/>
      <c r="D21" s="218"/>
      <c r="E21" s="218"/>
      <c r="F21" s="218"/>
      <c r="G21" s="2" t="s">
        <v>119</v>
      </c>
      <c r="H21" s="8">
        <f>I21*T21</f>
        <v>3968.75</v>
      </c>
      <c r="I21" s="10">
        <v>0.05</v>
      </c>
      <c r="J21" s="8">
        <f>K21*T21</f>
        <v>39687.5</v>
      </c>
      <c r="K21" s="10">
        <v>0.5</v>
      </c>
      <c r="L21" s="8">
        <f>M21*T21</f>
        <v>27781.25</v>
      </c>
      <c r="M21" s="10">
        <v>0.35</v>
      </c>
      <c r="N21" s="8">
        <f>O21*T21</f>
        <v>7937.5</v>
      </c>
      <c r="O21" s="10">
        <v>0.1</v>
      </c>
      <c r="P21" s="8">
        <f>Q21*T21</f>
        <v>0</v>
      </c>
      <c r="Q21" s="10"/>
      <c r="R21" s="10">
        <f t="shared" si="23"/>
        <v>1</v>
      </c>
      <c r="S21" s="3">
        <f t="shared" ref="S21:S24" si="24">H21+J21+L21+N21+P21</f>
        <v>79375</v>
      </c>
      <c r="T21" s="19">
        <v>79375</v>
      </c>
      <c r="U21" s="20" t="s">
        <v>140</v>
      </c>
    </row>
    <row r="22" spans="1:21" s="4" customFormat="1" ht="10.5" x14ac:dyDescent="0.25">
      <c r="A22" s="2"/>
      <c r="B22" s="2"/>
      <c r="C22" s="2"/>
      <c r="D22" s="2"/>
      <c r="E22" s="2"/>
      <c r="F22" s="2"/>
      <c r="G22" s="2" t="s">
        <v>120</v>
      </c>
      <c r="H22" s="8">
        <f>I22*T22</f>
        <v>10400</v>
      </c>
      <c r="I22" s="10">
        <v>0.25</v>
      </c>
      <c r="J22" s="8">
        <f>K22*T22</f>
        <v>12480</v>
      </c>
      <c r="K22" s="10">
        <v>0.3</v>
      </c>
      <c r="L22" s="8">
        <f>M22*T22</f>
        <v>2080</v>
      </c>
      <c r="M22" s="10">
        <v>0.05</v>
      </c>
      <c r="N22" s="8">
        <f>O22*T22</f>
        <v>6240</v>
      </c>
      <c r="O22" s="10">
        <v>0.15</v>
      </c>
      <c r="P22" s="8">
        <f>Q22*T22</f>
        <v>10400</v>
      </c>
      <c r="Q22" s="10">
        <v>0.25</v>
      </c>
      <c r="R22" s="10">
        <f t="shared" si="23"/>
        <v>1</v>
      </c>
      <c r="S22" s="3">
        <f t="shared" si="24"/>
        <v>41600</v>
      </c>
      <c r="T22" s="19">
        <v>41600</v>
      </c>
      <c r="U22" s="20"/>
    </row>
    <row r="23" spans="1:21" s="4" customFormat="1" ht="10.5" x14ac:dyDescent="0.25">
      <c r="A23" s="2"/>
      <c r="B23" s="2"/>
      <c r="C23" s="2"/>
      <c r="D23" s="2"/>
      <c r="E23" s="2"/>
      <c r="F23" s="2"/>
      <c r="G23" s="2" t="s">
        <v>121</v>
      </c>
      <c r="H23" s="8">
        <f t="shared" ref="H23:H24" si="25">I23*T23</f>
        <v>31500</v>
      </c>
      <c r="I23" s="10">
        <v>0.75</v>
      </c>
      <c r="J23" s="8">
        <f t="shared" ref="J23:J24" si="26">K23*T23</f>
        <v>0</v>
      </c>
      <c r="K23" s="10">
        <v>0</v>
      </c>
      <c r="L23" s="8">
        <f>M23*T23</f>
        <v>2100</v>
      </c>
      <c r="M23" s="10">
        <v>0.05</v>
      </c>
      <c r="N23" s="8">
        <f>O23*T23</f>
        <v>0</v>
      </c>
      <c r="O23" s="10">
        <v>0</v>
      </c>
      <c r="P23" s="8">
        <f>Q23*T23</f>
        <v>8400</v>
      </c>
      <c r="Q23" s="10">
        <v>0.2</v>
      </c>
      <c r="R23" s="10">
        <f t="shared" si="23"/>
        <v>1</v>
      </c>
      <c r="S23" s="3">
        <f t="shared" si="24"/>
        <v>42000</v>
      </c>
      <c r="T23" s="19">
        <v>42000</v>
      </c>
      <c r="U23" s="20"/>
    </row>
    <row r="24" spans="1:21" s="4" customFormat="1" ht="10.5" x14ac:dyDescent="0.25">
      <c r="A24" s="2"/>
      <c r="B24" s="2"/>
      <c r="C24" s="2"/>
      <c r="D24" s="2"/>
      <c r="E24" s="2"/>
      <c r="F24" s="2"/>
      <c r="G24" s="2" t="s">
        <v>122</v>
      </c>
      <c r="H24" s="8">
        <f t="shared" si="25"/>
        <v>3750</v>
      </c>
      <c r="I24" s="10">
        <v>0.25</v>
      </c>
      <c r="J24" s="8">
        <f t="shared" si="26"/>
        <v>0</v>
      </c>
      <c r="K24" s="10">
        <v>0</v>
      </c>
      <c r="L24" s="8">
        <f>M24*T24</f>
        <v>7500</v>
      </c>
      <c r="M24" s="10">
        <v>0.5</v>
      </c>
      <c r="N24" s="8">
        <f>O24*T24</f>
        <v>3750</v>
      </c>
      <c r="O24" s="10">
        <v>0.25</v>
      </c>
      <c r="P24" s="8">
        <f>Q108*T24</f>
        <v>0</v>
      </c>
      <c r="Q24" s="10">
        <v>0</v>
      </c>
      <c r="R24" s="10">
        <f t="shared" si="23"/>
        <v>1</v>
      </c>
      <c r="S24" s="3">
        <f t="shared" si="24"/>
        <v>15000</v>
      </c>
      <c r="T24" s="19">
        <v>15000</v>
      </c>
      <c r="U24" s="21">
        <f>SUM(T20:T24)</f>
        <v>220375</v>
      </c>
    </row>
    <row r="25" spans="1:21" s="4" customFormat="1" ht="10.5" x14ac:dyDescent="0.25">
      <c r="A25" s="2"/>
      <c r="B25" s="2"/>
      <c r="C25" s="2"/>
      <c r="D25" s="2"/>
      <c r="E25" s="2"/>
      <c r="F25" s="2"/>
      <c r="G25" s="2" t="s">
        <v>125</v>
      </c>
      <c r="H25" s="22">
        <f>SUM(H20:H24)</f>
        <v>49618.75</v>
      </c>
      <c r="I25" s="10"/>
      <c r="J25" s="22">
        <f>SUM(J20:J24)</f>
        <v>56407.5</v>
      </c>
      <c r="K25" s="10"/>
      <c r="L25" s="22">
        <f>SUM(L20:L24)</f>
        <v>39461.25</v>
      </c>
      <c r="M25" s="10"/>
      <c r="N25" s="22">
        <f>SUM(N20:N24)</f>
        <v>22167.5</v>
      </c>
      <c r="O25" s="10"/>
      <c r="P25" s="22">
        <f>SUM(P20:P24)</f>
        <v>52720</v>
      </c>
      <c r="Q25" s="10"/>
      <c r="R25" s="10"/>
      <c r="S25" s="3"/>
      <c r="T25" s="19"/>
      <c r="U25" s="21"/>
    </row>
    <row r="26" spans="1:21" s="23" customFormat="1" ht="18" customHeight="1" x14ac:dyDescent="0.25">
      <c r="A26" s="16"/>
      <c r="B26" s="16"/>
      <c r="C26" s="16"/>
      <c r="D26" s="16"/>
      <c r="E26" s="16"/>
      <c r="F26" s="16"/>
      <c r="G26" s="16" t="s">
        <v>126</v>
      </c>
      <c r="H26" s="23">
        <f>H25/U24</f>
        <v>0.22515598411798071</v>
      </c>
      <c r="I26" s="16"/>
      <c r="J26" s="23">
        <f>J25/U24</f>
        <v>0.25596142938173566</v>
      </c>
      <c r="K26" s="16"/>
      <c r="L26" s="23">
        <f>L25/U24</f>
        <v>0.1790640952921157</v>
      </c>
      <c r="M26" s="16"/>
      <c r="N26" s="23">
        <f>N25/U24</f>
        <v>0.10058990357345433</v>
      </c>
      <c r="O26" s="16"/>
      <c r="P26" s="23">
        <f>P25/U24</f>
        <v>0.23922858763471355</v>
      </c>
      <c r="Q26" s="16"/>
      <c r="R26" s="16">
        <f>SUM(H26:P26)</f>
        <v>1</v>
      </c>
      <c r="S26" s="16"/>
      <c r="T26" s="29"/>
      <c r="U26" s="30"/>
    </row>
    <row r="27" spans="1:21" x14ac:dyDescent="0.35">
      <c r="G27" s="2" t="s">
        <v>65</v>
      </c>
      <c r="T27" s="31">
        <f>U24*0.078</f>
        <v>17189.25</v>
      </c>
    </row>
    <row r="29" spans="1:21" ht="24.5" customHeight="1" x14ac:dyDescent="0.35">
      <c r="A29" s="28" t="s">
        <v>138</v>
      </c>
      <c r="G29" s="2" t="s">
        <v>132</v>
      </c>
      <c r="T29">
        <f>66000/12</f>
        <v>5500</v>
      </c>
    </row>
    <row r="30" spans="1:21" x14ac:dyDescent="0.35">
      <c r="G30" s="2" t="s">
        <v>133</v>
      </c>
      <c r="T30">
        <v>5500</v>
      </c>
    </row>
    <row r="31" spans="1:21" x14ac:dyDescent="0.35">
      <c r="G31" s="2" t="s">
        <v>134</v>
      </c>
      <c r="T31">
        <f>5500/2</f>
        <v>2750</v>
      </c>
    </row>
    <row r="32" spans="1:21" x14ac:dyDescent="0.35">
      <c r="G32" s="2" t="s">
        <v>135</v>
      </c>
      <c r="T32">
        <f>(75000/12)*0.5</f>
        <v>3125</v>
      </c>
    </row>
    <row r="33" spans="7:20" x14ac:dyDescent="0.35">
      <c r="G33" s="2" t="s">
        <v>136</v>
      </c>
      <c r="T33">
        <f>(75000/12)*10</f>
        <v>62500</v>
      </c>
    </row>
    <row r="34" spans="7:20" x14ac:dyDescent="0.35">
      <c r="G34" s="2" t="s">
        <v>139</v>
      </c>
      <c r="T34">
        <f>SUM(T29:T33)</f>
        <v>79375</v>
      </c>
    </row>
  </sheetData>
  <mergeCells count="2">
    <mergeCell ref="H1:S1"/>
    <mergeCell ref="A21:F21"/>
  </mergeCells>
  <pageMargins left="0.25" right="0.25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D22" sqref="D21:D22"/>
    </sheetView>
  </sheetViews>
  <sheetFormatPr defaultRowHeight="14.5" x14ac:dyDescent="0.35"/>
  <cols>
    <col min="1" max="1" width="17.81640625" customWidth="1"/>
    <col min="2" max="2" width="16.1796875" customWidth="1"/>
    <col min="3" max="3" width="18.81640625" customWidth="1"/>
    <col min="5" max="5" width="14" customWidth="1"/>
  </cols>
  <sheetData>
    <row r="1" spans="1:5" x14ac:dyDescent="0.35">
      <c r="A1" s="32" t="s">
        <v>142</v>
      </c>
      <c r="B1" s="33">
        <v>5921</v>
      </c>
      <c r="C1" s="33">
        <v>5923</v>
      </c>
      <c r="D1" s="32" t="s">
        <v>151</v>
      </c>
      <c r="E1" s="32"/>
    </row>
    <row r="2" spans="1:5" x14ac:dyDescent="0.35">
      <c r="A2" s="34"/>
      <c r="B2" s="35"/>
      <c r="C2" s="35"/>
      <c r="D2" s="34"/>
      <c r="E2" s="34"/>
    </row>
    <row r="3" spans="1:5" x14ac:dyDescent="0.35">
      <c r="A3" s="34" t="s">
        <v>143</v>
      </c>
      <c r="B3" s="35"/>
      <c r="C3" s="35">
        <v>80</v>
      </c>
      <c r="D3" s="34"/>
      <c r="E3" s="34"/>
    </row>
    <row r="4" spans="1:5" x14ac:dyDescent="0.35">
      <c r="A4" s="34" t="s">
        <v>144</v>
      </c>
      <c r="B4" s="35">
        <v>400</v>
      </c>
      <c r="C4" s="35">
        <v>400</v>
      </c>
      <c r="D4" s="34"/>
      <c r="E4" s="34"/>
    </row>
    <row r="5" spans="1:5" x14ac:dyDescent="0.35">
      <c r="A5" s="34" t="s">
        <v>145</v>
      </c>
      <c r="B5" s="35">
        <f>(1447/8)*12</f>
        <v>2170.5</v>
      </c>
      <c r="C5" s="35">
        <f>(1328.35/8)*12</f>
        <v>1992.5249999999999</v>
      </c>
      <c r="D5" s="34"/>
      <c r="E5" s="34"/>
    </row>
    <row r="6" spans="1:5" x14ac:dyDescent="0.35">
      <c r="A6" s="34" t="s">
        <v>146</v>
      </c>
      <c r="B6" s="35">
        <f>(16741/8)*12</f>
        <v>25111.5</v>
      </c>
      <c r="C6" s="35">
        <f>((6956.64/8)*12)+12187.69</f>
        <v>22622.65</v>
      </c>
      <c r="D6" s="34">
        <f>-(12187+6065)</f>
        <v>-18252</v>
      </c>
      <c r="E6" s="36">
        <f>B6+C6+D6</f>
        <v>29482.15</v>
      </c>
    </row>
    <row r="7" spans="1:5" x14ac:dyDescent="0.35">
      <c r="A7" s="34" t="s">
        <v>147</v>
      </c>
      <c r="B7" s="35">
        <f>(200.64/8)*12</f>
        <v>300.95999999999998</v>
      </c>
      <c r="C7" s="35">
        <f>(77.37/8)*12</f>
        <v>116.05500000000001</v>
      </c>
      <c r="D7" s="34">
        <v>0</v>
      </c>
      <c r="E7" s="34"/>
    </row>
    <row r="8" spans="1:5" x14ac:dyDescent="0.35">
      <c r="A8" s="34" t="s">
        <v>148</v>
      </c>
      <c r="B8" s="35">
        <f>(450/8)*12</f>
        <v>675</v>
      </c>
      <c r="C8" s="35">
        <v>675</v>
      </c>
      <c r="D8" s="34"/>
      <c r="E8" s="34"/>
    </row>
    <row r="9" spans="1:5" x14ac:dyDescent="0.35">
      <c r="A9" s="34" t="s">
        <v>149</v>
      </c>
      <c r="B9" s="35">
        <f>(740/8)*4</f>
        <v>370</v>
      </c>
      <c r="C9" s="35">
        <f>(740/8)*4</f>
        <v>370</v>
      </c>
      <c r="D9" s="34"/>
      <c r="E9" s="34"/>
    </row>
    <row r="10" spans="1:5" x14ac:dyDescent="0.35">
      <c r="A10" s="34"/>
      <c r="B10" s="35"/>
      <c r="C10" s="35"/>
      <c r="D10" s="34"/>
      <c r="E10" s="34"/>
    </row>
    <row r="11" spans="1:5" x14ac:dyDescent="0.35">
      <c r="A11" s="34" t="s">
        <v>150</v>
      </c>
      <c r="B11" s="35">
        <f>SUM(B3:B10)</f>
        <v>29027.96</v>
      </c>
      <c r="C11" s="35">
        <f>SUM(C3:C10)</f>
        <v>26256.230000000003</v>
      </c>
      <c r="D11" s="34"/>
      <c r="E11" s="3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sfa budget</vt:lpstr>
      <vt:lpstr>staff</vt:lpstr>
      <vt:lpstr>Deal estimates</vt:lpstr>
      <vt:lpstr>'sfa budget'!Print_Titles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Reichl</dc:creator>
  <cp:lastModifiedBy>Gloria Hausser</cp:lastModifiedBy>
  <cp:lastPrinted>2022-04-23T00:11:30Z</cp:lastPrinted>
  <dcterms:created xsi:type="dcterms:W3CDTF">2018-04-06T23:19:46Z</dcterms:created>
  <dcterms:modified xsi:type="dcterms:W3CDTF">2022-07-05T15:34:01Z</dcterms:modified>
</cp:coreProperties>
</file>